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1E2F839D-AD0C-40B7-B99B-4B0D3F22BD59}" xr6:coauthVersionLast="47" xr6:coauthVersionMax="47" xr10:uidLastSave="{00000000-0000-0000-0000-000000000000}"/>
  <bookViews>
    <workbookView xWindow="-120" yWindow="-120" windowWidth="29040" windowHeight="15840" xr2:uid="{22FE45E1-DEEB-48FE-BDE4-B073B5E4B711}"/>
  </bookViews>
  <sheets>
    <sheet name="EHRES" sheetId="2" r:id="rId1"/>
    <sheet name="Lake Str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M6" i="1"/>
  <c r="L6" i="1"/>
  <c r="J6" i="1"/>
  <c r="H6" i="1"/>
  <c r="G6" i="1"/>
  <c r="D6" i="1"/>
  <c r="K5" i="1"/>
  <c r="S5" i="1" s="1"/>
  <c r="I5" i="1"/>
  <c r="I8" i="1" s="1"/>
  <c r="K4" i="1"/>
  <c r="R4" i="1" s="1"/>
  <c r="I4" i="1"/>
  <c r="K3" i="1"/>
  <c r="Q3" i="1" s="1"/>
  <c r="I3" i="1"/>
  <c r="K40" i="2"/>
  <c r="S40" i="2" s="1"/>
  <c r="I40" i="2"/>
  <c r="I3" i="2"/>
  <c r="K3" i="2"/>
  <c r="Q3" i="2" s="1"/>
  <c r="I4" i="2"/>
  <c r="K4" i="2"/>
  <c r="Q4" i="2" s="1"/>
  <c r="I47" i="2"/>
  <c r="K47" i="2"/>
  <c r="R47" i="2" s="1"/>
  <c r="I5" i="2"/>
  <c r="K5" i="2"/>
  <c r="Q5" i="2" s="1"/>
  <c r="I6" i="2"/>
  <c r="K6" i="2"/>
  <c r="S6" i="2" s="1"/>
  <c r="I48" i="2"/>
  <c r="K48" i="2"/>
  <c r="R48" i="2" s="1"/>
  <c r="I43" i="2"/>
  <c r="K43" i="2"/>
  <c r="R43" i="2" s="1"/>
  <c r="I7" i="2"/>
  <c r="K7" i="2"/>
  <c r="Q7" i="2" s="1"/>
  <c r="I8" i="2"/>
  <c r="K8" i="2"/>
  <c r="Q8" i="2" s="1"/>
  <c r="I44" i="2"/>
  <c r="K44" i="2"/>
  <c r="S44" i="2" s="1"/>
  <c r="I9" i="2"/>
  <c r="K9" i="2"/>
  <c r="Q9" i="2" s="1"/>
  <c r="I10" i="2"/>
  <c r="K10" i="2"/>
  <c r="R10" i="2" s="1"/>
  <c r="I42" i="2"/>
  <c r="K42" i="2"/>
  <c r="Q42" i="2" s="1"/>
  <c r="I11" i="2"/>
  <c r="K11" i="2"/>
  <c r="Q11" i="2" s="1"/>
  <c r="I41" i="2"/>
  <c r="K41" i="2"/>
  <c r="R41" i="2" s="1"/>
  <c r="S41" i="2"/>
  <c r="I12" i="2"/>
  <c r="K12" i="2"/>
  <c r="S12" i="2" s="1"/>
  <c r="I37" i="2"/>
  <c r="K37" i="2"/>
  <c r="S37" i="2" s="1"/>
  <c r="I38" i="2"/>
  <c r="K38" i="2"/>
  <c r="R38" i="2" s="1"/>
  <c r="I13" i="2"/>
  <c r="K13" i="2"/>
  <c r="Q13" i="2" s="1"/>
  <c r="I14" i="2"/>
  <c r="K14" i="2"/>
  <c r="Q14" i="2" s="1"/>
  <c r="I15" i="2"/>
  <c r="K15" i="2"/>
  <c r="Q15" i="2" s="1"/>
  <c r="I16" i="2"/>
  <c r="K16" i="2"/>
  <c r="S16" i="2" s="1"/>
  <c r="I17" i="2"/>
  <c r="K17" i="2"/>
  <c r="Q17" i="2" s="1"/>
  <c r="I18" i="2"/>
  <c r="K18" i="2"/>
  <c r="R18" i="2" s="1"/>
  <c r="I19" i="2"/>
  <c r="K19" i="2"/>
  <c r="Q19" i="2" s="1"/>
  <c r="I20" i="2"/>
  <c r="K20" i="2"/>
  <c r="Q20" i="2" s="1"/>
  <c r="I21" i="2"/>
  <c r="K21" i="2"/>
  <c r="R21" i="2" s="1"/>
  <c r="I22" i="2"/>
  <c r="K22" i="2"/>
  <c r="Q22" i="2" s="1"/>
  <c r="I45" i="2"/>
  <c r="K45" i="2"/>
  <c r="Q45" i="2" s="1"/>
  <c r="I35" i="2"/>
  <c r="K35" i="2"/>
  <c r="Q35" i="2" s="1"/>
  <c r="I39" i="2"/>
  <c r="K39" i="2"/>
  <c r="S39" i="2" s="1"/>
  <c r="I46" i="2"/>
  <c r="K46" i="2"/>
  <c r="Q46" i="2" s="1"/>
  <c r="I23" i="2"/>
  <c r="K23" i="2"/>
  <c r="R23" i="2" s="1"/>
  <c r="I36" i="2"/>
  <c r="K36" i="2"/>
  <c r="Q36" i="2" s="1"/>
  <c r="I24" i="2"/>
  <c r="K24" i="2"/>
  <c r="Q24" i="2" s="1"/>
  <c r="D25" i="2"/>
  <c r="G25" i="2"/>
  <c r="H25" i="2"/>
  <c r="J25" i="2"/>
  <c r="L25" i="2"/>
  <c r="M25" i="2"/>
  <c r="O25" i="2"/>
  <c r="P25" i="2"/>
  <c r="Q43" i="2" l="1"/>
  <c r="I7" i="1"/>
  <c r="R3" i="1"/>
  <c r="S3" i="1"/>
  <c r="R5" i="1"/>
  <c r="S4" i="1"/>
  <c r="Q5" i="1"/>
  <c r="K6" i="1"/>
  <c r="Q4" i="1"/>
  <c r="S36" i="2"/>
  <c r="R20" i="2"/>
  <c r="I26" i="2"/>
  <c r="S4" i="2"/>
  <c r="Q39" i="2"/>
  <c r="R24" i="2"/>
  <c r="R16" i="2"/>
  <c r="Q40" i="2"/>
  <c r="R40" i="2"/>
  <c r="S13" i="2"/>
  <c r="R13" i="2"/>
  <c r="Q16" i="2"/>
  <c r="S7" i="2"/>
  <c r="S47" i="2"/>
  <c r="S15" i="2"/>
  <c r="Q10" i="2"/>
  <c r="Q12" i="2"/>
  <c r="S19" i="2"/>
  <c r="Q41" i="2"/>
  <c r="Q47" i="2"/>
  <c r="S22" i="2"/>
  <c r="R19" i="2"/>
  <c r="Q23" i="2"/>
  <c r="R22" i="2"/>
  <c r="Q38" i="2"/>
  <c r="R15" i="2"/>
  <c r="S45" i="2"/>
  <c r="Q48" i="2"/>
  <c r="R45" i="2"/>
  <c r="S21" i="2"/>
  <c r="Q18" i="2"/>
  <c r="S42" i="2"/>
  <c r="S8" i="2"/>
  <c r="Q21" i="2"/>
  <c r="R42" i="2"/>
  <c r="R8" i="2"/>
  <c r="S24" i="2"/>
  <c r="R39" i="2"/>
  <c r="R12" i="2"/>
  <c r="I27" i="2"/>
  <c r="R36" i="2"/>
  <c r="S11" i="2"/>
  <c r="S5" i="2"/>
  <c r="S3" i="2"/>
  <c r="S35" i="2"/>
  <c r="R11" i="2"/>
  <c r="R5" i="2"/>
  <c r="R3" i="2"/>
  <c r="R35" i="2"/>
  <c r="S14" i="2"/>
  <c r="R44" i="2"/>
  <c r="S43" i="2"/>
  <c r="S20" i="2"/>
  <c r="Q44" i="2"/>
  <c r="S23" i="2"/>
  <c r="S18" i="2"/>
  <c r="R37" i="2"/>
  <c r="S10" i="2"/>
  <c r="R6" i="2"/>
  <c r="Q37" i="2"/>
  <c r="Q6" i="2"/>
  <c r="R4" i="2"/>
  <c r="K25" i="2"/>
  <c r="S46" i="2"/>
  <c r="S17" i="2"/>
  <c r="S9" i="2"/>
  <c r="R46" i="2"/>
  <c r="R17" i="2"/>
  <c r="S38" i="2"/>
  <c r="R9" i="2"/>
  <c r="S48" i="2"/>
  <c r="R14" i="2"/>
  <c r="R7" i="2"/>
  <c r="S8" i="1" l="1"/>
  <c r="P8" i="1"/>
  <c r="M8" i="1"/>
  <c r="M27" i="2"/>
  <c r="P27" i="2"/>
  <c r="S27" i="2"/>
</calcChain>
</file>

<file path=xl/sharedStrings.xml><?xml version="1.0" encoding="utf-8"?>
<sst xmlns="http://schemas.openxmlformats.org/spreadsheetml/2006/main" count="462" uniqueCount="177">
  <si>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</si>
  <si>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</si>
  <si>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</si>
  <si>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</si>
  <si>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</si>
  <si>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</si>
  <si>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</si>
  <si>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</si>
  <si>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</si>
  <si>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</si>
  <si>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</si>
  <si>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</si>
  <si>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</si>
  <si>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</si>
  <si>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</si>
  <si>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</si>
  <si>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</si>
  <si>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</si>
  <si>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</si>
  <si>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</si>
  <si>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</si>
  <si>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</si>
  <si>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</si>
  <si>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</si>
  <si>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</si>
  <si>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</si>
  <si>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</si>
  <si>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</si>
  <si>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</si>
  <si>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</si>
  <si>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</si>
  <si>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</si>
  <si>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57-009-013-20</t>
  </si>
  <si>
    <t>671 SPEAR</t>
  </si>
  <si>
    <t>WD</t>
  </si>
  <si>
    <t>11-FROM LENDING INSTITUTION EXPOSED</t>
  </si>
  <si>
    <t>EHRES</t>
  </si>
  <si>
    <t>4677/240</t>
  </si>
  <si>
    <t>EAST HILL RESIDENTIAL</t>
  </si>
  <si>
    <t>401</t>
  </si>
  <si>
    <t>FF</t>
  </si>
  <si>
    <t>57-009-016-00</t>
  </si>
  <si>
    <t>648 FRANCIS</t>
  </si>
  <si>
    <t>PTA</t>
  </si>
  <si>
    <t>03-ARM'S LENGTH</t>
  </si>
  <si>
    <t>001</t>
  </si>
  <si>
    <t>57-009-020-02</t>
  </si>
  <si>
    <t>423 GRAND</t>
  </si>
  <si>
    <t>32-SPLIT VACANT</t>
  </si>
  <si>
    <t>NOT INSPECTED</t>
  </si>
  <si>
    <t>57-051-001-10</t>
  </si>
  <si>
    <t>890 SIMONSON</t>
  </si>
  <si>
    <t>4543/527</t>
  </si>
  <si>
    <t>57-052-008-50</t>
  </si>
  <si>
    <t>145 GRANT</t>
  </si>
  <si>
    <t>4614/878</t>
  </si>
  <si>
    <t>57-053-002-00</t>
  </si>
  <si>
    <t>1021 HOLLAND</t>
  </si>
  <si>
    <t>ERES</t>
  </si>
  <si>
    <t>4606/832</t>
  </si>
  <si>
    <t>57-053-006-00</t>
  </si>
  <si>
    <t>1050 ELIZABETH</t>
  </si>
  <si>
    <t>4475/165</t>
  </si>
  <si>
    <t>57-053-007-00</t>
  </si>
  <si>
    <t>1055 HOLLAND</t>
  </si>
  <si>
    <t>4580/350</t>
  </si>
  <si>
    <t>57-053-009-00</t>
  </si>
  <si>
    <t>161 NORTH</t>
  </si>
  <si>
    <t>4496/678</t>
  </si>
  <si>
    <t>57-202-007-00</t>
  </si>
  <si>
    <t>433 MARY</t>
  </si>
  <si>
    <t>4661/682</t>
  </si>
  <si>
    <t>57-203-011-00</t>
  </si>
  <si>
    <t>417 FRANCIS</t>
  </si>
  <si>
    <t>19-MULTI PARCEL ARM'S LENGTH</t>
  </si>
  <si>
    <t>4519/674</t>
  </si>
  <si>
    <t>57-203-011-10</t>
  </si>
  <si>
    <t>57-204-013-00</t>
  </si>
  <si>
    <t>555 GRIFFITH</t>
  </si>
  <si>
    <t>4728/913</t>
  </si>
  <si>
    <t>57-206-024-00</t>
  </si>
  <si>
    <t>602 FRANCIS</t>
  </si>
  <si>
    <t>4702/316</t>
  </si>
  <si>
    <t>57-206-024-20</t>
  </si>
  <si>
    <t>540 FRANCIS</t>
  </si>
  <si>
    <t>4668/544</t>
  </si>
  <si>
    <t>57-300-087-00</t>
  </si>
  <si>
    <t>340 GRAND</t>
  </si>
  <si>
    <t>4498/784</t>
  </si>
  <si>
    <t>57-300-126-00</t>
  </si>
  <si>
    <t>345 HOFFMAN</t>
  </si>
  <si>
    <t>4505/907</t>
  </si>
  <si>
    <t>57-300-128-00</t>
  </si>
  <si>
    <t>230 GRIFFITH</t>
  </si>
  <si>
    <t>4474/264</t>
  </si>
  <si>
    <t>MAIN</t>
  </si>
  <si>
    <t>57-350-010-00</t>
  </si>
  <si>
    <t>759 MASON</t>
  </si>
  <si>
    <t>4532/709</t>
  </si>
  <si>
    <t>57-350-023-50</t>
  </si>
  <si>
    <t>816 ALLEGAN</t>
  </si>
  <si>
    <t>4600/225</t>
  </si>
  <si>
    <t>57-501-001-00</t>
  </si>
  <si>
    <t>540 MASON</t>
  </si>
  <si>
    <t>4530/478</t>
  </si>
  <si>
    <t>57-501-006-00</t>
  </si>
  <si>
    <t>589 HOFFMAN</t>
  </si>
  <si>
    <t>4500/451</t>
  </si>
  <si>
    <t>57-502-011-00</t>
  </si>
  <si>
    <t>548 HOFFMAN</t>
  </si>
  <si>
    <t>4532/750</t>
  </si>
  <si>
    <t>57-503-024-00</t>
  </si>
  <si>
    <t>568 MAIN</t>
  </si>
  <si>
    <t>4670/837</t>
  </si>
  <si>
    <t>57-505-031-00</t>
  </si>
  <si>
    <t>333 ELIZABETH</t>
  </si>
  <si>
    <t>4541/21</t>
  </si>
  <si>
    <t>57-507-047-00</t>
  </si>
  <si>
    <t>165 ELIZABETH</t>
  </si>
  <si>
    <t>4530/627</t>
  </si>
  <si>
    <t>57-507-050-00</t>
  </si>
  <si>
    <t>143 ELIZABETH</t>
  </si>
  <si>
    <t>4516/950</t>
  </si>
  <si>
    <t>57-507-053-00</t>
  </si>
  <si>
    <t>138 WEST</t>
  </si>
  <si>
    <t>4518/858</t>
  </si>
  <si>
    <t>57-507-055-00</t>
  </si>
  <si>
    <t>648 ALLEGAN</t>
  </si>
  <si>
    <t>4528/807</t>
  </si>
  <si>
    <t>57-514-038-50</t>
  </si>
  <si>
    <t>728 LAKE</t>
  </si>
  <si>
    <t>4642/741</t>
  </si>
  <si>
    <t>LAKE ST</t>
  </si>
  <si>
    <t>57-514-043-00</t>
  </si>
  <si>
    <t>LAKE</t>
  </si>
  <si>
    <t>4642/445</t>
  </si>
  <si>
    <t>402</t>
  </si>
  <si>
    <t>57-514-044-00</t>
  </si>
  <si>
    <t>649 PLEASANT</t>
  </si>
  <si>
    <t>4685/635</t>
  </si>
  <si>
    <t>57-515-058-20</t>
  </si>
  <si>
    <t>735 LAKE</t>
  </si>
  <si>
    <t>COMM</t>
  </si>
  <si>
    <t>4645/494</t>
  </si>
  <si>
    <t>201</t>
  </si>
  <si>
    <t>57-750-008-00</t>
  </si>
  <si>
    <t>150 TAYLOR</t>
  </si>
  <si>
    <t>4683/620</t>
  </si>
  <si>
    <t>57-750-016-00</t>
  </si>
  <si>
    <t>1024 ALLEGAN</t>
  </si>
  <si>
    <t>4545/442</t>
  </si>
  <si>
    <t>57-750-022-00</t>
  </si>
  <si>
    <t>139 TAKKEN</t>
  </si>
  <si>
    <t>4530/527</t>
  </si>
  <si>
    <t>57-750-024-00</t>
  </si>
  <si>
    <t>160 TAYLOR</t>
  </si>
  <si>
    <t>4525/265</t>
  </si>
  <si>
    <t>57-750-033-00</t>
  </si>
  <si>
    <t>1020 ALLEGAN</t>
  </si>
  <si>
    <t>4569/77</t>
  </si>
  <si>
    <t>57-880-001-00</t>
  </si>
  <si>
    <t>332 MARY</t>
  </si>
  <si>
    <t>4698/722</t>
  </si>
  <si>
    <t>57-880-002-00, 57-880-003-00</t>
  </si>
  <si>
    <t>407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</si>
  <si>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</si>
  <si>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</si>
  <si>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</si>
  <si>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</si>
  <si>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</si>
  <si>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</si>
  <si>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</si>
  <si>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Not Used</t>
  </si>
  <si>
    <t xml:space="preserve"> </t>
  </si>
  <si>
    <t>CONCLUDED FF RATE</t>
  </si>
  <si>
    <t>LAND TABLE EHRES EAST HILL RESIDENTIAL (LAKE ST)</t>
  </si>
  <si>
    <t>LAND TABLE EHRES EAST HILL RESIDENTIAL (EHRES)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</si>
</sst>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  <xf numFmtId="168" fontId="3" fillId="4" borderId="0" xfId="0" applyNumberFormat="1" applyFont="1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BF7D8-43CD-414E-9CDD-E79E39E2FF67}">
  <dimension ref="A1:BL48"/>
  <sheetViews>
    <sheetView tabSelected="1" view="pageBreakPreview" topLeftCell="M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8.42578125" bestFit="1" customWidth="1"/>
    <col min="7" max="7" width="11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21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4" t="s">
        <v>176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44456</v>
      </c>
      <c r="D3" s="15">
        <v>650000</v>
      </c>
      <c r="E3" t="s">
        <v>34</v>
      </c>
      <c r="F3" t="s">
        <v>35</v>
      </c>
      <c r="G3" s="15">
        <v>650000</v>
      </c>
      <c r="H3" s="15">
        <v>287800</v>
      </c>
      <c r="I3" s="20">
        <f t="shared" ref="I3:I24" si="0">H3/G3*100</f>
        <v>44.276923076923076</v>
      </c>
      <c r="J3" s="15">
        <v>575537</v>
      </c>
      <c r="K3" s="15">
        <f>G3-374342</f>
        <v>275658</v>
      </c>
      <c r="L3" s="15">
        <v>201195</v>
      </c>
      <c r="M3" s="30">
        <v>131.5</v>
      </c>
      <c r="N3" s="34">
        <v>203</v>
      </c>
      <c r="O3" s="39">
        <v>0.61299999999999999</v>
      </c>
      <c r="P3" s="39">
        <v>0.61299999999999999</v>
      </c>
      <c r="Q3" s="15">
        <f t="shared" ref="Q3:Q24" si="1">K3/M3</f>
        <v>2096.2585551330799</v>
      </c>
      <c r="R3" s="15">
        <f t="shared" ref="R3:R24" si="2">K3/O3</f>
        <v>449686.78629690048</v>
      </c>
      <c r="S3" s="44">
        <f t="shared" ref="S3:S24" si="3">K3/O3/43560</f>
        <v>10.323388115172188</v>
      </c>
      <c r="T3" s="39">
        <v>131.5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44932</v>
      </c>
      <c r="AC3" s="7" t="s">
        <v>39</v>
      </c>
      <c r="AD3" t="s">
        <v>40</v>
      </c>
      <c r="AL3" s="2"/>
      <c r="BC3" s="2"/>
      <c r="BE3" s="2"/>
    </row>
    <row r="4" spans="1:64" x14ac:dyDescent="0.25">
      <c r="A4" t="s">
        <v>41</v>
      </c>
      <c r="B4" t="s">
        <v>42</v>
      </c>
      <c r="C4" s="25">
        <v>44336</v>
      </c>
      <c r="D4" s="15">
        <v>725000</v>
      </c>
      <c r="E4" t="s">
        <v>43</v>
      </c>
      <c r="F4" t="s">
        <v>44</v>
      </c>
      <c r="G4" s="15">
        <v>725000</v>
      </c>
      <c r="H4" s="15">
        <v>0</v>
      </c>
      <c r="I4" s="20">
        <f t="shared" si="0"/>
        <v>0</v>
      </c>
      <c r="J4" s="15">
        <v>690086</v>
      </c>
      <c r="K4" s="15">
        <f>G4-486086</f>
        <v>238914</v>
      </c>
      <c r="L4" s="15">
        <v>204000</v>
      </c>
      <c r="M4" s="30">
        <v>120</v>
      </c>
      <c r="N4" s="34">
        <v>425.90362499999998</v>
      </c>
      <c r="O4" s="39">
        <v>2.4350000000000001</v>
      </c>
      <c r="P4" s="39">
        <v>2.4350000000000001</v>
      </c>
      <c r="Q4" s="15">
        <f t="shared" si="1"/>
        <v>1990.95</v>
      </c>
      <c r="R4" s="15">
        <f t="shared" si="2"/>
        <v>98116.632443531824</v>
      </c>
      <c r="S4" s="44">
        <f t="shared" si="3"/>
        <v>2.2524479440663869</v>
      </c>
      <c r="T4" s="39">
        <v>120</v>
      </c>
      <c r="U4" s="5" t="s">
        <v>36</v>
      </c>
      <c r="X4" t="s">
        <v>38</v>
      </c>
      <c r="Y4">
        <v>0</v>
      </c>
      <c r="Z4">
        <v>1</v>
      </c>
      <c r="AA4" s="6">
        <v>44574</v>
      </c>
      <c r="AC4" s="7" t="s">
        <v>45</v>
      </c>
      <c r="AD4" t="s">
        <v>40</v>
      </c>
      <c r="AE4" t="s">
        <v>40</v>
      </c>
    </row>
    <row r="5" spans="1:64" x14ac:dyDescent="0.25">
      <c r="A5" t="s">
        <v>50</v>
      </c>
      <c r="B5" t="s">
        <v>51</v>
      </c>
      <c r="C5" s="25">
        <v>44158</v>
      </c>
      <c r="D5" s="15">
        <v>200500</v>
      </c>
      <c r="E5" t="s">
        <v>34</v>
      </c>
      <c r="F5" t="s">
        <v>44</v>
      </c>
      <c r="G5" s="15">
        <v>200500</v>
      </c>
      <c r="H5" s="15">
        <v>120700</v>
      </c>
      <c r="I5" s="20">
        <f t="shared" si="0"/>
        <v>60.199501246882789</v>
      </c>
      <c r="J5" s="15">
        <v>241397</v>
      </c>
      <c r="K5" s="15">
        <f>G5-16997</f>
        <v>183503</v>
      </c>
      <c r="L5" s="15">
        <v>224400</v>
      </c>
      <c r="M5" s="30">
        <v>132</v>
      </c>
      <c r="N5" s="34">
        <v>132</v>
      </c>
      <c r="O5" s="39">
        <v>0.4</v>
      </c>
      <c r="P5" s="39">
        <v>0.4</v>
      </c>
      <c r="Q5" s="15">
        <f t="shared" si="1"/>
        <v>1390.1742424242425</v>
      </c>
      <c r="R5" s="15">
        <f t="shared" si="2"/>
        <v>458757.5</v>
      </c>
      <c r="S5" s="44">
        <f t="shared" si="3"/>
        <v>10.531623048668504</v>
      </c>
      <c r="T5" s="39">
        <v>132</v>
      </c>
      <c r="U5" s="5" t="s">
        <v>36</v>
      </c>
      <c r="V5" t="s">
        <v>52</v>
      </c>
      <c r="X5" t="s">
        <v>38</v>
      </c>
      <c r="Y5">
        <v>0</v>
      </c>
      <c r="Z5">
        <v>1</v>
      </c>
      <c r="AA5" t="s">
        <v>49</v>
      </c>
      <c r="AC5" s="7" t="s">
        <v>39</v>
      </c>
      <c r="AD5" t="s">
        <v>40</v>
      </c>
    </row>
    <row r="6" spans="1:64" x14ac:dyDescent="0.25">
      <c r="A6" t="s">
        <v>53</v>
      </c>
      <c r="B6" t="s">
        <v>54</v>
      </c>
      <c r="C6" s="25">
        <v>44307</v>
      </c>
      <c r="D6" s="15">
        <v>264000</v>
      </c>
      <c r="E6" t="s">
        <v>34</v>
      </c>
      <c r="F6" t="s">
        <v>44</v>
      </c>
      <c r="G6" s="15">
        <v>264000</v>
      </c>
      <c r="H6" s="15">
        <v>125000</v>
      </c>
      <c r="I6" s="20">
        <f t="shared" si="0"/>
        <v>47.348484848484851</v>
      </c>
      <c r="J6" s="15">
        <v>250026</v>
      </c>
      <c r="K6" s="15">
        <f>G6-158226</f>
        <v>105774</v>
      </c>
      <c r="L6" s="15">
        <v>91800</v>
      </c>
      <c r="M6" s="30">
        <v>54</v>
      </c>
      <c r="N6" s="34">
        <v>160</v>
      </c>
      <c r="O6" s="39">
        <v>0.39800000000000002</v>
      </c>
      <c r="P6" s="39">
        <v>0.39800000000000002</v>
      </c>
      <c r="Q6" s="15">
        <f t="shared" si="1"/>
        <v>1958.7777777777778</v>
      </c>
      <c r="R6" s="15">
        <f t="shared" si="2"/>
        <v>265763.81909547735</v>
      </c>
      <c r="S6" s="44">
        <f t="shared" si="3"/>
        <v>6.1010977753782676</v>
      </c>
      <c r="T6" s="39">
        <v>54</v>
      </c>
      <c r="U6" s="5" t="s">
        <v>36</v>
      </c>
      <c r="V6" t="s">
        <v>55</v>
      </c>
      <c r="X6" t="s">
        <v>38</v>
      </c>
      <c r="Y6">
        <v>0</v>
      </c>
      <c r="Z6">
        <v>1</v>
      </c>
      <c r="AA6" t="s">
        <v>49</v>
      </c>
      <c r="AC6" s="7" t="s">
        <v>39</v>
      </c>
      <c r="AD6" t="s">
        <v>40</v>
      </c>
    </row>
    <row r="7" spans="1:64" x14ac:dyDescent="0.25">
      <c r="A7" t="s">
        <v>63</v>
      </c>
      <c r="B7" t="s">
        <v>64</v>
      </c>
      <c r="C7" s="25">
        <v>44239</v>
      </c>
      <c r="D7" s="15">
        <v>379000</v>
      </c>
      <c r="E7" t="s">
        <v>34</v>
      </c>
      <c r="F7" t="s">
        <v>44</v>
      </c>
      <c r="G7" s="15">
        <v>379000</v>
      </c>
      <c r="H7" s="15">
        <v>190500</v>
      </c>
      <c r="I7" s="20">
        <f t="shared" si="0"/>
        <v>50.263852242744065</v>
      </c>
      <c r="J7" s="15">
        <v>380908</v>
      </c>
      <c r="K7" s="15">
        <f>G7-217708</f>
        <v>161292</v>
      </c>
      <c r="L7" s="15">
        <v>163200</v>
      </c>
      <c r="M7" s="30">
        <v>96</v>
      </c>
      <c r="N7" s="34">
        <v>132</v>
      </c>
      <c r="O7" s="39">
        <v>0.58199999999999996</v>
      </c>
      <c r="P7" s="39">
        <v>0.29099999999999998</v>
      </c>
      <c r="Q7" s="15">
        <f t="shared" si="1"/>
        <v>1680.125</v>
      </c>
      <c r="R7" s="15">
        <f t="shared" si="2"/>
        <v>277134.02061855671</v>
      </c>
      <c r="S7" s="44">
        <f t="shared" si="3"/>
        <v>6.3621216854581428</v>
      </c>
      <c r="T7" s="39">
        <v>96</v>
      </c>
      <c r="U7" s="5" t="s">
        <v>36</v>
      </c>
      <c r="V7" t="s">
        <v>65</v>
      </c>
      <c r="X7" t="s">
        <v>38</v>
      </c>
      <c r="Y7">
        <v>0</v>
      </c>
      <c r="Z7">
        <v>1</v>
      </c>
      <c r="AA7" s="6">
        <v>44932</v>
      </c>
      <c r="AC7" s="7" t="s">
        <v>39</v>
      </c>
      <c r="AD7" t="s">
        <v>40</v>
      </c>
    </row>
    <row r="8" spans="1:64" x14ac:dyDescent="0.25">
      <c r="A8" t="s">
        <v>66</v>
      </c>
      <c r="B8" t="s">
        <v>67</v>
      </c>
      <c r="C8" s="25">
        <v>44046</v>
      </c>
      <c r="D8" s="15">
        <v>264900</v>
      </c>
      <c r="E8" t="s">
        <v>34</v>
      </c>
      <c r="F8" t="s">
        <v>44</v>
      </c>
      <c r="G8" s="15">
        <v>264900</v>
      </c>
      <c r="H8" s="15">
        <v>126100</v>
      </c>
      <c r="I8" s="20">
        <f t="shared" si="0"/>
        <v>47.602869007172515</v>
      </c>
      <c r="J8" s="15">
        <v>252199</v>
      </c>
      <c r="K8" s="15">
        <f>G8-139999</f>
        <v>124901</v>
      </c>
      <c r="L8" s="15">
        <v>112200</v>
      </c>
      <c r="M8" s="30">
        <v>66</v>
      </c>
      <c r="N8" s="34">
        <v>93</v>
      </c>
      <c r="O8" s="39">
        <v>0.14099999999999999</v>
      </c>
      <c r="P8" s="39">
        <v>0.14099999999999999</v>
      </c>
      <c r="Q8" s="15">
        <f t="shared" si="1"/>
        <v>1892.439393939394</v>
      </c>
      <c r="R8" s="15">
        <f t="shared" si="2"/>
        <v>885822.6950354611</v>
      </c>
      <c r="S8" s="44">
        <f t="shared" si="3"/>
        <v>20.335690886948143</v>
      </c>
      <c r="T8" s="39">
        <v>66</v>
      </c>
      <c r="U8" s="5" t="s">
        <v>58</v>
      </c>
      <c r="V8" t="s">
        <v>68</v>
      </c>
      <c r="X8" t="s">
        <v>38</v>
      </c>
      <c r="Y8">
        <v>0</v>
      </c>
      <c r="Z8">
        <v>1</v>
      </c>
      <c r="AA8" t="s">
        <v>49</v>
      </c>
      <c r="AC8" s="7" t="s">
        <v>39</v>
      </c>
      <c r="AD8" t="s">
        <v>40</v>
      </c>
    </row>
    <row r="9" spans="1:64" x14ac:dyDescent="0.25">
      <c r="A9" t="s">
        <v>72</v>
      </c>
      <c r="B9" t="s">
        <v>73</v>
      </c>
      <c r="C9" s="25">
        <v>44095</v>
      </c>
      <c r="D9" s="15">
        <v>1026000</v>
      </c>
      <c r="E9" t="s">
        <v>34</v>
      </c>
      <c r="F9" t="s">
        <v>74</v>
      </c>
      <c r="G9" s="15">
        <v>1026000</v>
      </c>
      <c r="H9" s="15">
        <v>496500</v>
      </c>
      <c r="I9" s="20">
        <f t="shared" si="0"/>
        <v>48.391812865497073</v>
      </c>
      <c r="J9" s="15">
        <v>1319054</v>
      </c>
      <c r="K9" s="15">
        <f>G9-768701</f>
        <v>257299</v>
      </c>
      <c r="L9" s="15">
        <v>224400</v>
      </c>
      <c r="M9" s="30">
        <v>132</v>
      </c>
      <c r="N9" s="34">
        <v>264</v>
      </c>
      <c r="O9" s="39">
        <v>0.4</v>
      </c>
      <c r="P9" s="39">
        <v>0.2</v>
      </c>
      <c r="Q9" s="15">
        <f t="shared" si="1"/>
        <v>1949.2348484848485</v>
      </c>
      <c r="R9" s="15">
        <f t="shared" si="2"/>
        <v>643247.5</v>
      </c>
      <c r="S9" s="44">
        <f t="shared" si="3"/>
        <v>14.766930670339761</v>
      </c>
      <c r="T9" s="39">
        <v>132</v>
      </c>
      <c r="U9" s="5" t="s">
        <v>36</v>
      </c>
      <c r="V9" t="s">
        <v>75</v>
      </c>
      <c r="W9" t="s">
        <v>76</v>
      </c>
      <c r="X9" t="s">
        <v>38</v>
      </c>
      <c r="Y9">
        <v>0</v>
      </c>
      <c r="Z9">
        <v>1</v>
      </c>
      <c r="AA9" t="s">
        <v>49</v>
      </c>
      <c r="AC9" s="7" t="s">
        <v>39</v>
      </c>
      <c r="AD9" t="s">
        <v>40</v>
      </c>
    </row>
    <row r="10" spans="1:64" x14ac:dyDescent="0.25">
      <c r="A10" t="s">
        <v>77</v>
      </c>
      <c r="B10" t="s">
        <v>78</v>
      </c>
      <c r="C10" s="25">
        <v>44595</v>
      </c>
      <c r="D10" s="15">
        <v>750000</v>
      </c>
      <c r="E10" t="s">
        <v>34</v>
      </c>
      <c r="F10" t="s">
        <v>44</v>
      </c>
      <c r="G10" s="15">
        <v>750000</v>
      </c>
      <c r="H10" s="15">
        <v>328900</v>
      </c>
      <c r="I10" s="20">
        <f t="shared" si="0"/>
        <v>43.853333333333332</v>
      </c>
      <c r="J10" s="15">
        <v>657777</v>
      </c>
      <c r="K10" s="15">
        <f>G10-433377</f>
        <v>316623</v>
      </c>
      <c r="L10" s="15">
        <v>224400</v>
      </c>
      <c r="M10" s="30">
        <v>132</v>
      </c>
      <c r="N10" s="34">
        <v>132</v>
      </c>
      <c r="O10" s="39">
        <v>0.4</v>
      </c>
      <c r="P10" s="39">
        <v>0.4</v>
      </c>
      <c r="Q10" s="15">
        <f t="shared" si="1"/>
        <v>2398.659090909091</v>
      </c>
      <c r="R10" s="15">
        <f t="shared" si="2"/>
        <v>791557.5</v>
      </c>
      <c r="S10" s="44">
        <f t="shared" si="3"/>
        <v>18.171659779614323</v>
      </c>
      <c r="T10" s="39">
        <v>132</v>
      </c>
      <c r="U10" s="5" t="s">
        <v>36</v>
      </c>
      <c r="V10" t="s">
        <v>79</v>
      </c>
      <c r="X10" t="s">
        <v>38</v>
      </c>
      <c r="Y10">
        <v>0</v>
      </c>
      <c r="Z10">
        <v>1</v>
      </c>
      <c r="AA10" s="6">
        <v>44932</v>
      </c>
      <c r="AC10" s="7" t="s">
        <v>39</v>
      </c>
      <c r="AD10" t="s">
        <v>40</v>
      </c>
    </row>
    <row r="11" spans="1:64" x14ac:dyDescent="0.25">
      <c r="A11" t="s">
        <v>83</v>
      </c>
      <c r="B11" t="s">
        <v>84</v>
      </c>
      <c r="C11" s="25">
        <v>44433</v>
      </c>
      <c r="D11" s="15">
        <v>875000</v>
      </c>
      <c r="E11" t="s">
        <v>34</v>
      </c>
      <c r="F11" t="s">
        <v>44</v>
      </c>
      <c r="G11" s="15">
        <v>875000</v>
      </c>
      <c r="H11" s="15">
        <v>413000</v>
      </c>
      <c r="I11" s="20">
        <f t="shared" si="0"/>
        <v>47.199999999999996</v>
      </c>
      <c r="J11" s="15">
        <v>826098</v>
      </c>
      <c r="K11" s="15">
        <f>G11-573648</f>
        <v>301352</v>
      </c>
      <c r="L11" s="15">
        <v>252450</v>
      </c>
      <c r="M11" s="30">
        <v>165</v>
      </c>
      <c r="N11" s="34">
        <v>132</v>
      </c>
      <c r="O11" s="39">
        <v>0.5</v>
      </c>
      <c r="P11" s="39">
        <v>0.5</v>
      </c>
      <c r="Q11" s="15">
        <f t="shared" si="1"/>
        <v>1826.3757575757577</v>
      </c>
      <c r="R11" s="15">
        <f t="shared" si="2"/>
        <v>602704</v>
      </c>
      <c r="S11" s="44">
        <f t="shared" si="3"/>
        <v>13.836179981634528</v>
      </c>
      <c r="T11" s="39">
        <v>165</v>
      </c>
      <c r="U11" s="5" t="s">
        <v>36</v>
      </c>
      <c r="V11" t="s">
        <v>85</v>
      </c>
      <c r="X11" t="s">
        <v>38</v>
      </c>
      <c r="Y11">
        <v>0</v>
      </c>
      <c r="Z11">
        <v>1</v>
      </c>
      <c r="AA11" t="s">
        <v>49</v>
      </c>
      <c r="AC11" s="7" t="s">
        <v>39</v>
      </c>
      <c r="AD11" t="s">
        <v>40</v>
      </c>
    </row>
    <row r="12" spans="1:64" x14ac:dyDescent="0.25">
      <c r="A12" t="s">
        <v>89</v>
      </c>
      <c r="B12" t="s">
        <v>90</v>
      </c>
      <c r="C12" s="25">
        <v>44071</v>
      </c>
      <c r="D12" s="15">
        <v>675000</v>
      </c>
      <c r="E12" t="s">
        <v>34</v>
      </c>
      <c r="F12" t="s">
        <v>44</v>
      </c>
      <c r="G12" s="15">
        <v>675000</v>
      </c>
      <c r="H12" s="15">
        <v>367800</v>
      </c>
      <c r="I12" s="20">
        <f t="shared" si="0"/>
        <v>54.488888888888887</v>
      </c>
      <c r="J12" s="15">
        <v>735594</v>
      </c>
      <c r="K12" s="15">
        <f>G12-474894</f>
        <v>200106</v>
      </c>
      <c r="L12" s="15">
        <v>260700</v>
      </c>
      <c r="M12" s="30">
        <v>165</v>
      </c>
      <c r="N12" s="34">
        <v>132</v>
      </c>
      <c r="O12" s="39">
        <v>0.5</v>
      </c>
      <c r="P12" s="39">
        <v>0.5</v>
      </c>
      <c r="Q12" s="15">
        <f t="shared" si="1"/>
        <v>1212.7636363636364</v>
      </c>
      <c r="R12" s="15">
        <f t="shared" si="2"/>
        <v>400212</v>
      </c>
      <c r="S12" s="44">
        <f t="shared" si="3"/>
        <v>9.1876033057851245</v>
      </c>
      <c r="T12" s="39">
        <v>165</v>
      </c>
      <c r="U12" s="5" t="s">
        <v>36</v>
      </c>
      <c r="V12" t="s">
        <v>91</v>
      </c>
      <c r="X12" t="s">
        <v>38</v>
      </c>
      <c r="Y12">
        <v>0</v>
      </c>
      <c r="Z12">
        <v>1</v>
      </c>
      <c r="AA12" t="s">
        <v>49</v>
      </c>
      <c r="AC12" s="7" t="s">
        <v>39</v>
      </c>
      <c r="AD12" t="s">
        <v>40</v>
      </c>
      <c r="AE12" t="s">
        <v>40</v>
      </c>
    </row>
    <row r="13" spans="1:64" x14ac:dyDescent="0.25">
      <c r="A13" t="s">
        <v>99</v>
      </c>
      <c r="B13" t="s">
        <v>100</v>
      </c>
      <c r="C13" s="25">
        <v>44267</v>
      </c>
      <c r="D13" s="15">
        <v>550000</v>
      </c>
      <c r="E13" t="s">
        <v>34</v>
      </c>
      <c r="F13" t="s">
        <v>44</v>
      </c>
      <c r="G13" s="15">
        <v>550000</v>
      </c>
      <c r="H13" s="15">
        <v>263900</v>
      </c>
      <c r="I13" s="20">
        <f t="shared" si="0"/>
        <v>47.981818181818184</v>
      </c>
      <c r="J13" s="15">
        <v>527841</v>
      </c>
      <c r="K13" s="15">
        <f>G13-430014</f>
        <v>119986</v>
      </c>
      <c r="L13" s="15">
        <v>97827</v>
      </c>
      <c r="M13" s="30">
        <v>57.545000000000002</v>
      </c>
      <c r="N13" s="34">
        <v>142.009995</v>
      </c>
      <c r="O13" s="39">
        <v>0.188</v>
      </c>
      <c r="P13" s="39">
        <v>0.188</v>
      </c>
      <c r="Q13" s="15">
        <f t="shared" si="1"/>
        <v>2085.0812407680946</v>
      </c>
      <c r="R13" s="15">
        <f t="shared" si="2"/>
        <v>638223.40425531915</v>
      </c>
      <c r="S13" s="44">
        <f t="shared" si="3"/>
        <v>14.651593302463709</v>
      </c>
      <c r="T13" s="39">
        <v>57.545000000000002</v>
      </c>
      <c r="U13" s="5" t="s">
        <v>36</v>
      </c>
      <c r="V13" t="s">
        <v>101</v>
      </c>
      <c r="X13" t="s">
        <v>38</v>
      </c>
      <c r="Y13">
        <v>0</v>
      </c>
      <c r="Z13">
        <v>1</v>
      </c>
      <c r="AA13" s="6">
        <v>44552</v>
      </c>
      <c r="AC13" s="7" t="s">
        <v>39</v>
      </c>
      <c r="AD13" t="s">
        <v>40</v>
      </c>
    </row>
    <row r="14" spans="1:64" x14ac:dyDescent="0.25">
      <c r="A14" t="s">
        <v>102</v>
      </c>
      <c r="B14" t="s">
        <v>103</v>
      </c>
      <c r="C14" s="25">
        <v>44123</v>
      </c>
      <c r="D14" s="15">
        <v>374900</v>
      </c>
      <c r="E14" t="s">
        <v>34</v>
      </c>
      <c r="F14" t="s">
        <v>44</v>
      </c>
      <c r="G14" s="15">
        <v>374900</v>
      </c>
      <c r="H14" s="15">
        <v>192400</v>
      </c>
      <c r="I14" s="20">
        <f t="shared" si="0"/>
        <v>51.320352093891707</v>
      </c>
      <c r="J14" s="15">
        <v>384879</v>
      </c>
      <c r="K14" s="15">
        <f>G14-299879</f>
        <v>75021</v>
      </c>
      <c r="L14" s="15">
        <v>85000</v>
      </c>
      <c r="M14" s="30">
        <v>50</v>
      </c>
      <c r="N14" s="34">
        <v>132</v>
      </c>
      <c r="O14" s="39">
        <v>0.152</v>
      </c>
      <c r="P14" s="39">
        <v>0.152</v>
      </c>
      <c r="Q14" s="15">
        <f t="shared" si="1"/>
        <v>1500.42</v>
      </c>
      <c r="R14" s="15">
        <f t="shared" si="2"/>
        <v>493559.21052631579</v>
      </c>
      <c r="S14" s="44">
        <f t="shared" si="3"/>
        <v>11.330560388574742</v>
      </c>
      <c r="T14" s="39">
        <v>50</v>
      </c>
      <c r="U14" s="5" t="s">
        <v>36</v>
      </c>
      <c r="V14" t="s">
        <v>104</v>
      </c>
      <c r="X14" t="s">
        <v>38</v>
      </c>
      <c r="Y14">
        <v>0</v>
      </c>
      <c r="Z14">
        <v>1</v>
      </c>
      <c r="AA14" s="6">
        <v>44546</v>
      </c>
      <c r="AC14" s="7" t="s">
        <v>39</v>
      </c>
      <c r="AD14" t="s">
        <v>40</v>
      </c>
    </row>
    <row r="15" spans="1:64" x14ac:dyDescent="0.25">
      <c r="A15" t="s">
        <v>105</v>
      </c>
      <c r="B15" t="s">
        <v>106</v>
      </c>
      <c r="C15" s="25">
        <v>44043</v>
      </c>
      <c r="D15" s="15">
        <v>580000</v>
      </c>
      <c r="E15" t="s">
        <v>34</v>
      </c>
      <c r="F15" t="s">
        <v>44</v>
      </c>
      <c r="G15" s="15">
        <v>580000</v>
      </c>
      <c r="H15" s="15">
        <v>292100</v>
      </c>
      <c r="I15" s="20">
        <f t="shared" si="0"/>
        <v>50.362068965517238</v>
      </c>
      <c r="J15" s="15">
        <v>584286</v>
      </c>
      <c r="K15" s="15">
        <f>G15-472086</f>
        <v>107914</v>
      </c>
      <c r="L15" s="15">
        <v>112200</v>
      </c>
      <c r="M15" s="30">
        <v>66</v>
      </c>
      <c r="N15" s="34">
        <v>132</v>
      </c>
      <c r="O15" s="39">
        <v>0.2</v>
      </c>
      <c r="P15" s="39">
        <v>0.2</v>
      </c>
      <c r="Q15" s="15">
        <f t="shared" si="1"/>
        <v>1635.060606060606</v>
      </c>
      <c r="R15" s="15">
        <f t="shared" si="2"/>
        <v>539570</v>
      </c>
      <c r="S15" s="44">
        <f t="shared" si="3"/>
        <v>12.38682277318641</v>
      </c>
      <c r="T15" s="39">
        <v>66</v>
      </c>
      <c r="U15" s="5" t="s">
        <v>36</v>
      </c>
      <c r="V15" t="s">
        <v>107</v>
      </c>
      <c r="X15" t="s">
        <v>38</v>
      </c>
      <c r="Y15">
        <v>0</v>
      </c>
      <c r="Z15">
        <v>1</v>
      </c>
      <c r="AA15" s="6">
        <v>44572</v>
      </c>
      <c r="AC15" s="7" t="s">
        <v>39</v>
      </c>
      <c r="AD15" t="s">
        <v>40</v>
      </c>
    </row>
    <row r="16" spans="1:64" x14ac:dyDescent="0.25">
      <c r="A16" t="s">
        <v>108</v>
      </c>
      <c r="B16" t="s">
        <v>109</v>
      </c>
      <c r="C16" s="25">
        <v>44132</v>
      </c>
      <c r="D16" s="15">
        <v>375000</v>
      </c>
      <c r="E16" t="s">
        <v>34</v>
      </c>
      <c r="F16" t="s">
        <v>44</v>
      </c>
      <c r="G16" s="15">
        <v>375000</v>
      </c>
      <c r="H16" s="15">
        <v>175100</v>
      </c>
      <c r="I16" s="20">
        <f t="shared" si="0"/>
        <v>46.693333333333328</v>
      </c>
      <c r="J16" s="15">
        <v>350142</v>
      </c>
      <c r="K16" s="15">
        <f>G16-237942</f>
        <v>137058</v>
      </c>
      <c r="L16" s="15">
        <v>112200</v>
      </c>
      <c r="M16" s="30">
        <v>66</v>
      </c>
      <c r="N16" s="34">
        <v>132</v>
      </c>
      <c r="O16" s="39">
        <v>0.2</v>
      </c>
      <c r="P16" s="39">
        <v>0.2</v>
      </c>
      <c r="Q16" s="15">
        <f t="shared" si="1"/>
        <v>2076.6363636363635</v>
      </c>
      <c r="R16" s="15">
        <f t="shared" si="2"/>
        <v>685290</v>
      </c>
      <c r="S16" s="44">
        <f t="shared" si="3"/>
        <v>15.732093663911845</v>
      </c>
      <c r="T16" s="39">
        <v>66</v>
      </c>
      <c r="U16" s="5" t="s">
        <v>36</v>
      </c>
      <c r="V16" t="s">
        <v>110</v>
      </c>
      <c r="X16" t="s">
        <v>38</v>
      </c>
      <c r="Y16">
        <v>0</v>
      </c>
      <c r="Z16">
        <v>1</v>
      </c>
      <c r="AA16" s="6">
        <v>40005</v>
      </c>
      <c r="AC16" s="7" t="s">
        <v>39</v>
      </c>
      <c r="AD16" t="s">
        <v>40</v>
      </c>
    </row>
    <row r="17" spans="1:32" x14ac:dyDescent="0.25">
      <c r="A17" t="s">
        <v>111</v>
      </c>
      <c r="B17" t="s">
        <v>112</v>
      </c>
      <c r="C17" s="25">
        <v>44441</v>
      </c>
      <c r="D17" s="15">
        <v>525000</v>
      </c>
      <c r="E17" t="s">
        <v>34</v>
      </c>
      <c r="F17" t="s">
        <v>44</v>
      </c>
      <c r="G17" s="15">
        <v>525000</v>
      </c>
      <c r="H17" s="15">
        <v>232200</v>
      </c>
      <c r="I17" s="20">
        <f t="shared" si="0"/>
        <v>44.228571428571428</v>
      </c>
      <c r="J17" s="15">
        <v>464454</v>
      </c>
      <c r="K17" s="15">
        <f>G17-352254</f>
        <v>172746</v>
      </c>
      <c r="L17" s="15">
        <v>112200</v>
      </c>
      <c r="M17" s="30">
        <v>66</v>
      </c>
      <c r="N17" s="34">
        <v>132</v>
      </c>
      <c r="O17" s="39">
        <v>0.4</v>
      </c>
      <c r="P17" s="39">
        <v>0.2</v>
      </c>
      <c r="Q17" s="15">
        <f t="shared" si="1"/>
        <v>2617.3636363636365</v>
      </c>
      <c r="R17" s="15">
        <f t="shared" si="2"/>
        <v>431865</v>
      </c>
      <c r="S17" s="44">
        <f t="shared" si="3"/>
        <v>9.9142561983471076</v>
      </c>
      <c r="T17" s="39">
        <v>66</v>
      </c>
      <c r="U17" s="5" t="s">
        <v>36</v>
      </c>
      <c r="V17" t="s">
        <v>113</v>
      </c>
      <c r="X17" t="s">
        <v>38</v>
      </c>
      <c r="Y17">
        <v>0</v>
      </c>
      <c r="Z17">
        <v>1</v>
      </c>
      <c r="AA17" s="6">
        <v>40011</v>
      </c>
      <c r="AC17" s="7" t="s">
        <v>39</v>
      </c>
      <c r="AD17" t="s">
        <v>40</v>
      </c>
    </row>
    <row r="18" spans="1:32" x14ac:dyDescent="0.25">
      <c r="A18" t="s">
        <v>114</v>
      </c>
      <c r="B18" t="s">
        <v>115</v>
      </c>
      <c r="C18" s="25">
        <v>44127</v>
      </c>
      <c r="D18" s="15">
        <v>280000</v>
      </c>
      <c r="E18" t="s">
        <v>34</v>
      </c>
      <c r="F18" t="s">
        <v>44</v>
      </c>
      <c r="G18" s="15">
        <v>280000</v>
      </c>
      <c r="H18" s="15">
        <v>146100</v>
      </c>
      <c r="I18" s="20">
        <f t="shared" si="0"/>
        <v>52.178571428571431</v>
      </c>
      <c r="J18" s="15">
        <v>292150</v>
      </c>
      <c r="K18" s="15">
        <f>G18-179950</f>
        <v>100050</v>
      </c>
      <c r="L18" s="15">
        <v>112200</v>
      </c>
      <c r="M18" s="30">
        <v>66</v>
      </c>
      <c r="N18" s="34">
        <v>132</v>
      </c>
      <c r="O18" s="39">
        <v>0.2</v>
      </c>
      <c r="P18" s="39">
        <v>0.2</v>
      </c>
      <c r="Q18" s="15">
        <f t="shared" si="1"/>
        <v>1515.909090909091</v>
      </c>
      <c r="R18" s="15">
        <f t="shared" si="2"/>
        <v>500250</v>
      </c>
      <c r="S18" s="44">
        <f t="shared" si="3"/>
        <v>11.484159779614325</v>
      </c>
      <c r="T18" s="39">
        <v>66</v>
      </c>
      <c r="U18" s="5" t="s">
        <v>36</v>
      </c>
      <c r="V18" t="s">
        <v>116</v>
      </c>
      <c r="X18" t="s">
        <v>38</v>
      </c>
      <c r="Y18">
        <v>0</v>
      </c>
      <c r="Z18">
        <v>1</v>
      </c>
      <c r="AA18" s="6">
        <v>40011</v>
      </c>
      <c r="AC18" s="7" t="s">
        <v>39</v>
      </c>
      <c r="AD18" t="s">
        <v>40</v>
      </c>
    </row>
    <row r="19" spans="1:32" x14ac:dyDescent="0.25">
      <c r="A19" t="s">
        <v>117</v>
      </c>
      <c r="B19" t="s">
        <v>118</v>
      </c>
      <c r="C19" s="25">
        <v>44121</v>
      </c>
      <c r="D19" s="15">
        <v>400000</v>
      </c>
      <c r="E19" t="s">
        <v>34</v>
      </c>
      <c r="F19" t="s">
        <v>44</v>
      </c>
      <c r="G19" s="15">
        <v>400000</v>
      </c>
      <c r="H19" s="15">
        <v>177900</v>
      </c>
      <c r="I19" s="20">
        <f t="shared" si="0"/>
        <v>44.474999999999994</v>
      </c>
      <c r="J19" s="15">
        <v>355849</v>
      </c>
      <c r="K19" s="15">
        <f>G19-216449</f>
        <v>183551</v>
      </c>
      <c r="L19" s="15">
        <v>139400</v>
      </c>
      <c r="M19" s="30">
        <v>82</v>
      </c>
      <c r="N19" s="34">
        <v>132</v>
      </c>
      <c r="O19" s="39">
        <v>0.248</v>
      </c>
      <c r="P19" s="39">
        <v>0.248</v>
      </c>
      <c r="Q19" s="15">
        <f t="shared" si="1"/>
        <v>2238.4268292682927</v>
      </c>
      <c r="R19" s="15">
        <f t="shared" si="2"/>
        <v>740125</v>
      </c>
      <c r="S19" s="44">
        <f t="shared" si="3"/>
        <v>16.990932047750231</v>
      </c>
      <c r="T19" s="39">
        <v>82</v>
      </c>
      <c r="U19" s="5" t="s">
        <v>36</v>
      </c>
      <c r="V19" t="s">
        <v>119</v>
      </c>
      <c r="X19" t="s">
        <v>38</v>
      </c>
      <c r="Y19">
        <v>0</v>
      </c>
      <c r="Z19">
        <v>1</v>
      </c>
      <c r="AA19" t="s">
        <v>49</v>
      </c>
      <c r="AC19" s="7" t="s">
        <v>39</v>
      </c>
      <c r="AD19" t="s">
        <v>40</v>
      </c>
    </row>
    <row r="20" spans="1:32" x14ac:dyDescent="0.25">
      <c r="A20" t="s">
        <v>120</v>
      </c>
      <c r="B20" t="s">
        <v>121</v>
      </c>
      <c r="C20" s="25">
        <v>44098</v>
      </c>
      <c r="D20" s="15">
        <v>595000</v>
      </c>
      <c r="E20" t="s">
        <v>34</v>
      </c>
      <c r="F20" t="s">
        <v>44</v>
      </c>
      <c r="G20" s="15">
        <v>595000</v>
      </c>
      <c r="H20" s="15">
        <v>299500</v>
      </c>
      <c r="I20" s="20">
        <f t="shared" si="0"/>
        <v>50.336134453781511</v>
      </c>
      <c r="J20" s="15">
        <v>598963</v>
      </c>
      <c r="K20" s="15">
        <f>G20-374563</f>
        <v>220437</v>
      </c>
      <c r="L20" s="15">
        <v>224400</v>
      </c>
      <c r="M20" s="30">
        <v>132</v>
      </c>
      <c r="N20" s="34">
        <v>132</v>
      </c>
      <c r="O20" s="39">
        <v>0.4</v>
      </c>
      <c r="P20" s="39">
        <v>0.4</v>
      </c>
      <c r="Q20" s="15">
        <f t="shared" si="1"/>
        <v>1669.9772727272727</v>
      </c>
      <c r="R20" s="15">
        <f t="shared" si="2"/>
        <v>551092.5</v>
      </c>
      <c r="S20" s="44">
        <f t="shared" si="3"/>
        <v>12.651342975206612</v>
      </c>
      <c r="T20" s="39">
        <v>132</v>
      </c>
      <c r="U20" s="5" t="s">
        <v>36</v>
      </c>
      <c r="V20" t="s">
        <v>122</v>
      </c>
      <c r="X20" t="s">
        <v>38</v>
      </c>
      <c r="Y20">
        <v>0</v>
      </c>
      <c r="Z20">
        <v>1</v>
      </c>
      <c r="AA20" s="6">
        <v>44546</v>
      </c>
      <c r="AC20" s="7" t="s">
        <v>39</v>
      </c>
      <c r="AD20" t="s">
        <v>40</v>
      </c>
    </row>
    <row r="21" spans="1:32" x14ac:dyDescent="0.25">
      <c r="A21" t="s">
        <v>123</v>
      </c>
      <c r="B21" t="s">
        <v>124</v>
      </c>
      <c r="C21" s="25">
        <v>44102</v>
      </c>
      <c r="D21" s="15">
        <v>457500</v>
      </c>
      <c r="E21" t="s">
        <v>34</v>
      </c>
      <c r="F21" t="s">
        <v>44</v>
      </c>
      <c r="G21" s="15">
        <v>457500</v>
      </c>
      <c r="H21" s="15">
        <v>234600</v>
      </c>
      <c r="I21" s="20">
        <f t="shared" si="0"/>
        <v>51.278688524590166</v>
      </c>
      <c r="J21" s="15">
        <v>469213</v>
      </c>
      <c r="K21" s="15">
        <f>G21-357013</f>
        <v>100487</v>
      </c>
      <c r="L21" s="15">
        <v>112200</v>
      </c>
      <c r="M21" s="30">
        <v>66</v>
      </c>
      <c r="N21" s="34">
        <v>132</v>
      </c>
      <c r="O21" s="39">
        <v>0.2</v>
      </c>
      <c r="P21" s="39">
        <v>0.2</v>
      </c>
      <c r="Q21" s="15">
        <f t="shared" si="1"/>
        <v>1522.530303030303</v>
      </c>
      <c r="R21" s="15">
        <f t="shared" si="2"/>
        <v>502435</v>
      </c>
      <c r="S21" s="44">
        <f t="shared" si="3"/>
        <v>11.534320477502296</v>
      </c>
      <c r="T21" s="39">
        <v>66</v>
      </c>
      <c r="U21" s="5" t="s">
        <v>36</v>
      </c>
      <c r="V21" t="s">
        <v>125</v>
      </c>
      <c r="X21" t="s">
        <v>38</v>
      </c>
      <c r="Y21">
        <v>0</v>
      </c>
      <c r="Z21">
        <v>1</v>
      </c>
      <c r="AA21" t="s">
        <v>49</v>
      </c>
      <c r="AC21" s="7" t="s">
        <v>39</v>
      </c>
      <c r="AD21" t="s">
        <v>40</v>
      </c>
    </row>
    <row r="22" spans="1:32" x14ac:dyDescent="0.25">
      <c r="A22" t="s">
        <v>126</v>
      </c>
      <c r="B22" t="s">
        <v>127</v>
      </c>
      <c r="C22" s="25">
        <v>44102</v>
      </c>
      <c r="D22" s="15">
        <v>280000</v>
      </c>
      <c r="E22" t="s">
        <v>34</v>
      </c>
      <c r="F22" t="s">
        <v>44</v>
      </c>
      <c r="G22" s="15">
        <v>280000</v>
      </c>
      <c r="H22" s="15">
        <v>142100</v>
      </c>
      <c r="I22" s="20">
        <f t="shared" si="0"/>
        <v>50.749999999999993</v>
      </c>
      <c r="J22" s="15">
        <v>284138</v>
      </c>
      <c r="K22" s="15">
        <f>G22-171938</f>
        <v>108062</v>
      </c>
      <c r="L22" s="15">
        <v>112200</v>
      </c>
      <c r="M22" s="30">
        <v>66</v>
      </c>
      <c r="N22" s="34">
        <v>127.782608</v>
      </c>
      <c r="O22" s="39">
        <v>0.20200000000000001</v>
      </c>
      <c r="P22" s="39">
        <v>0.20200000000000001</v>
      </c>
      <c r="Q22" s="15">
        <f t="shared" si="1"/>
        <v>1637.3030303030303</v>
      </c>
      <c r="R22" s="15">
        <f t="shared" si="2"/>
        <v>534960.39603960398</v>
      </c>
      <c r="S22" s="44">
        <f t="shared" si="3"/>
        <v>12.281000827355463</v>
      </c>
      <c r="T22" s="39">
        <v>66</v>
      </c>
      <c r="U22" s="5" t="s">
        <v>36</v>
      </c>
      <c r="V22" t="s">
        <v>128</v>
      </c>
      <c r="X22" t="s">
        <v>38</v>
      </c>
      <c r="Y22">
        <v>0</v>
      </c>
      <c r="Z22">
        <v>1</v>
      </c>
      <c r="AA22" s="6">
        <v>44566</v>
      </c>
      <c r="AC22" s="7" t="s">
        <v>39</v>
      </c>
      <c r="AD22" t="s">
        <v>40</v>
      </c>
      <c r="AE22" t="s">
        <v>40</v>
      </c>
    </row>
    <row r="23" spans="1:32" x14ac:dyDescent="0.25">
      <c r="A23" t="s">
        <v>151</v>
      </c>
      <c r="B23" t="s">
        <v>152</v>
      </c>
      <c r="C23" s="25">
        <v>44120</v>
      </c>
      <c r="D23" s="15">
        <v>288000</v>
      </c>
      <c r="E23" t="s">
        <v>34</v>
      </c>
      <c r="F23" t="s">
        <v>44</v>
      </c>
      <c r="G23" s="15">
        <v>288000</v>
      </c>
      <c r="H23" s="15">
        <v>163400</v>
      </c>
      <c r="I23" s="20">
        <f t="shared" si="0"/>
        <v>56.736111111111107</v>
      </c>
      <c r="J23" s="15">
        <v>326791</v>
      </c>
      <c r="K23" s="15">
        <f>G23-148291</f>
        <v>139709</v>
      </c>
      <c r="L23" s="15">
        <v>178500</v>
      </c>
      <c r="M23" s="30">
        <v>105</v>
      </c>
      <c r="N23" s="34">
        <v>106</v>
      </c>
      <c r="O23" s="39">
        <v>0.25600000000000001</v>
      </c>
      <c r="P23" s="39">
        <v>0.25600000000000001</v>
      </c>
      <c r="Q23" s="15">
        <f t="shared" si="1"/>
        <v>1330.5619047619048</v>
      </c>
      <c r="R23" s="15">
        <f t="shared" si="2"/>
        <v>545738.28125</v>
      </c>
      <c r="S23" s="44">
        <f t="shared" si="3"/>
        <v>12.52842702594123</v>
      </c>
      <c r="T23" s="39">
        <v>105</v>
      </c>
      <c r="U23" s="5" t="s">
        <v>36</v>
      </c>
      <c r="V23" t="s">
        <v>153</v>
      </c>
      <c r="X23" t="s">
        <v>38</v>
      </c>
      <c r="Y23">
        <v>0</v>
      </c>
      <c r="Z23">
        <v>1</v>
      </c>
      <c r="AA23" t="s">
        <v>49</v>
      </c>
      <c r="AC23" s="7" t="s">
        <v>39</v>
      </c>
      <c r="AD23" t="s">
        <v>40</v>
      </c>
    </row>
    <row r="24" spans="1:32" ht="15.75" thickBot="1" x14ac:dyDescent="0.3">
      <c r="A24" t="s">
        <v>157</v>
      </c>
      <c r="B24" t="s">
        <v>158</v>
      </c>
      <c r="C24" s="25">
        <v>44216</v>
      </c>
      <c r="D24" s="15">
        <v>165650</v>
      </c>
      <c r="E24" t="s">
        <v>34</v>
      </c>
      <c r="F24" t="s">
        <v>44</v>
      </c>
      <c r="G24" s="15">
        <v>165650</v>
      </c>
      <c r="H24" s="15">
        <v>88400</v>
      </c>
      <c r="I24" s="20">
        <f t="shared" si="0"/>
        <v>53.365529731361306</v>
      </c>
      <c r="J24" s="15">
        <v>176800</v>
      </c>
      <c r="K24" s="15">
        <f>G24-0</f>
        <v>165650</v>
      </c>
      <c r="L24" s="15">
        <v>176800</v>
      </c>
      <c r="M24" s="30">
        <v>104</v>
      </c>
      <c r="N24" s="34">
        <v>211</v>
      </c>
      <c r="O24" s="39">
        <v>0.504</v>
      </c>
      <c r="P24" s="39">
        <v>0.504</v>
      </c>
      <c r="Q24" s="15">
        <f t="shared" si="1"/>
        <v>1592.7884615384614</v>
      </c>
      <c r="R24" s="15">
        <f t="shared" si="2"/>
        <v>328670.63492063491</v>
      </c>
      <c r="S24" s="44">
        <f t="shared" si="3"/>
        <v>7.5452395528153104</v>
      </c>
      <c r="T24" s="39">
        <v>104</v>
      </c>
      <c r="U24" s="5" t="s">
        <v>36</v>
      </c>
      <c r="V24" t="s">
        <v>159</v>
      </c>
      <c r="X24" t="s">
        <v>38</v>
      </c>
      <c r="Y24">
        <v>0</v>
      </c>
      <c r="Z24">
        <v>0</v>
      </c>
      <c r="AA24" s="6">
        <v>44574</v>
      </c>
      <c r="AC24" s="7" t="s">
        <v>136</v>
      </c>
      <c r="AD24" t="s">
        <v>40</v>
      </c>
    </row>
    <row r="25" spans="1:32" ht="15.75" thickTop="1" x14ac:dyDescent="0.25">
      <c r="A25" s="8"/>
      <c r="B25" s="8"/>
      <c r="C25" s="26" t="s">
        <v>165</v>
      </c>
      <c r="D25" s="16">
        <f>+SUM(D3:D24)</f>
        <v>10680450</v>
      </c>
      <c r="E25" s="8"/>
      <c r="F25" s="8"/>
      <c r="G25" s="16">
        <f>+SUM(G3:G24)</f>
        <v>10680450</v>
      </c>
      <c r="H25" s="16">
        <f>+SUM(H3:H24)</f>
        <v>4864000</v>
      </c>
      <c r="I25" s="21"/>
      <c r="J25" s="16">
        <f>+SUM(J3:J24)</f>
        <v>10744182</v>
      </c>
      <c r="K25" s="16">
        <f>+SUM(K3:K24)</f>
        <v>3796093</v>
      </c>
      <c r="L25" s="16">
        <f>+SUM(L3:L24)</f>
        <v>3533872</v>
      </c>
      <c r="M25" s="31">
        <f>+SUM(M3:M24)</f>
        <v>2120.0450000000001</v>
      </c>
      <c r="N25" s="35"/>
      <c r="O25" s="40">
        <f>+SUM(O3:O24)</f>
        <v>9.5190000000000001</v>
      </c>
      <c r="P25" s="40">
        <f>+SUM(P3:P24)</f>
        <v>8.828000000000003</v>
      </c>
      <c r="Q25" s="16"/>
      <c r="R25" s="16"/>
      <c r="S25" s="45"/>
      <c r="T25" s="40"/>
      <c r="U25" s="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10"/>
      <c r="B26" s="10"/>
      <c r="C26" s="27"/>
      <c r="D26" s="17"/>
      <c r="E26" s="10"/>
      <c r="F26" s="10"/>
      <c r="G26" s="17"/>
      <c r="H26" s="17" t="s">
        <v>166</v>
      </c>
      <c r="I26" s="22">
        <f>H25/G25*100</f>
        <v>45.541152292272329</v>
      </c>
      <c r="J26" s="17"/>
      <c r="K26" s="17"/>
      <c r="L26" s="17" t="s">
        <v>167</v>
      </c>
      <c r="M26" s="32"/>
      <c r="N26" s="36"/>
      <c r="O26" s="41" t="s">
        <v>167</v>
      </c>
      <c r="P26" s="41"/>
      <c r="Q26" s="17"/>
      <c r="R26" s="17" t="s">
        <v>167</v>
      </c>
      <c r="S26" s="46"/>
      <c r="T26" s="41"/>
      <c r="U26" s="11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25">
      <c r="A27" s="12"/>
      <c r="B27" s="12"/>
      <c r="C27" s="28"/>
      <c r="D27" s="18"/>
      <c r="E27" s="12"/>
      <c r="F27" s="12"/>
      <c r="G27" s="18"/>
      <c r="H27" s="18" t="s">
        <v>168</v>
      </c>
      <c r="I27" s="23">
        <f>STDEV(I3:I24)</f>
        <v>11.373519128768233</v>
      </c>
      <c r="J27" s="18"/>
      <c r="K27" s="18"/>
      <c r="L27" s="18" t="s">
        <v>169</v>
      </c>
      <c r="M27" s="48">
        <f>K25/M25</f>
        <v>1790.571898238009</v>
      </c>
      <c r="N27" s="37"/>
      <c r="O27" s="42" t="s">
        <v>170</v>
      </c>
      <c r="P27" s="42">
        <f>K25/O25</f>
        <v>398791.1545330392</v>
      </c>
      <c r="Q27" s="18"/>
      <c r="R27" s="18" t="s">
        <v>171</v>
      </c>
      <c r="S27" s="47">
        <f>K25/O25/43560</f>
        <v>9.154985182117521</v>
      </c>
      <c r="T27" s="42"/>
      <c r="U27" s="1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9" spans="1:32" x14ac:dyDescent="0.25">
      <c r="K29" s="49"/>
      <c r="L29" s="50" t="s">
        <v>174</v>
      </c>
      <c r="M29" s="52">
        <v>1790</v>
      </c>
    </row>
    <row r="30" spans="1:32" x14ac:dyDescent="0.25">
      <c r="L30" s="15" t="s">
        <v>173</v>
      </c>
    </row>
    <row r="34" spans="1:32" x14ac:dyDescent="0.25">
      <c r="A34" s="53" t="s">
        <v>172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x14ac:dyDescent="0.25">
      <c r="A35" t="s">
        <v>145</v>
      </c>
      <c r="B35" t="s">
        <v>146</v>
      </c>
      <c r="C35" s="25">
        <v>44012</v>
      </c>
      <c r="D35" s="15">
        <v>565000</v>
      </c>
      <c r="E35" t="s">
        <v>43</v>
      </c>
      <c r="F35" t="s">
        <v>44</v>
      </c>
      <c r="G35" s="15">
        <v>565000</v>
      </c>
      <c r="H35" s="15">
        <v>426300</v>
      </c>
      <c r="I35" s="20">
        <f>H35/G35*100</f>
        <v>75.451327433628322</v>
      </c>
      <c r="J35" s="15">
        <v>852672</v>
      </c>
      <c r="K35" s="15">
        <f>G35-763422</f>
        <v>-198422</v>
      </c>
      <c r="L35" s="15">
        <v>89250</v>
      </c>
      <c r="M35" s="30">
        <v>52.5</v>
      </c>
      <c r="N35" s="34">
        <v>105</v>
      </c>
      <c r="O35" s="39">
        <v>0.127</v>
      </c>
      <c r="P35" s="39">
        <v>0.127</v>
      </c>
      <c r="Q35" s="15">
        <f>K35/M35</f>
        <v>-3779.4666666666667</v>
      </c>
      <c r="R35" s="15">
        <f>K35/O35</f>
        <v>-1562377.9527559055</v>
      </c>
      <c r="S35" s="44">
        <f>K35/O35/43560</f>
        <v>-35.867262459961097</v>
      </c>
      <c r="T35" s="39">
        <v>52.5</v>
      </c>
      <c r="U35" s="5" t="s">
        <v>36</v>
      </c>
      <c r="X35" t="s">
        <v>38</v>
      </c>
      <c r="Y35">
        <v>0</v>
      </c>
      <c r="Z35">
        <v>1</v>
      </c>
      <c r="AA35" t="s">
        <v>49</v>
      </c>
      <c r="AC35" s="7" t="s">
        <v>39</v>
      </c>
      <c r="AD35" t="s">
        <v>40</v>
      </c>
    </row>
    <row r="36" spans="1:32" x14ac:dyDescent="0.25">
      <c r="A36" t="s">
        <v>154</v>
      </c>
      <c r="B36" t="s">
        <v>155</v>
      </c>
      <c r="C36" s="25">
        <v>44112</v>
      </c>
      <c r="D36" s="15">
        <v>380000</v>
      </c>
      <c r="E36" t="s">
        <v>34</v>
      </c>
      <c r="F36" t="s">
        <v>44</v>
      </c>
      <c r="G36" s="15">
        <v>380000</v>
      </c>
      <c r="H36" s="15">
        <v>265600</v>
      </c>
      <c r="I36" s="20">
        <f>H36/G36*100</f>
        <v>69.89473684210526</v>
      </c>
      <c r="J36" s="15">
        <v>531287</v>
      </c>
      <c r="K36" s="15">
        <f>G36-352787</f>
        <v>27213</v>
      </c>
      <c r="L36" s="15">
        <v>178500</v>
      </c>
      <c r="M36" s="30">
        <v>105</v>
      </c>
      <c r="N36" s="34">
        <v>106</v>
      </c>
      <c r="O36" s="39">
        <v>0.25600000000000001</v>
      </c>
      <c r="P36" s="39">
        <v>0.25600000000000001</v>
      </c>
      <c r="Q36" s="15">
        <f>K36/M36</f>
        <v>259.17142857142858</v>
      </c>
      <c r="R36" s="15">
        <f>K36/O36</f>
        <v>106300.78125</v>
      </c>
      <c r="S36" s="44">
        <f>K36/O36/43560</f>
        <v>2.4403301480716255</v>
      </c>
      <c r="T36" s="39">
        <v>105</v>
      </c>
      <c r="U36" s="5" t="s">
        <v>36</v>
      </c>
      <c r="V36" t="s">
        <v>156</v>
      </c>
      <c r="X36" t="s">
        <v>38</v>
      </c>
      <c r="Y36">
        <v>0</v>
      </c>
      <c r="Z36">
        <v>1</v>
      </c>
      <c r="AA36" t="s">
        <v>49</v>
      </c>
      <c r="AC36" s="7" t="s">
        <v>39</v>
      </c>
      <c r="AD36" t="s">
        <v>40</v>
      </c>
    </row>
    <row r="37" spans="1:32" x14ac:dyDescent="0.25">
      <c r="A37" t="s">
        <v>92</v>
      </c>
      <c r="B37" t="s">
        <v>93</v>
      </c>
      <c r="C37" s="25">
        <v>43994</v>
      </c>
      <c r="D37" s="15">
        <v>915000</v>
      </c>
      <c r="E37" t="s">
        <v>34</v>
      </c>
      <c r="F37" t="s">
        <v>44</v>
      </c>
      <c r="G37" s="15">
        <v>915000</v>
      </c>
      <c r="H37" s="15">
        <v>574700</v>
      </c>
      <c r="I37" s="20">
        <f>H37/G37*100</f>
        <v>62.808743169398909</v>
      </c>
      <c r="J37" s="15">
        <v>1149399</v>
      </c>
      <c r="K37" s="15">
        <f>G37-1027299</f>
        <v>-112299</v>
      </c>
      <c r="L37" s="15">
        <v>122100</v>
      </c>
      <c r="M37" s="30">
        <v>69</v>
      </c>
      <c r="N37" s="34">
        <v>129.13043200000001</v>
      </c>
      <c r="O37" s="39">
        <v>0.20499999999999999</v>
      </c>
      <c r="P37" s="39">
        <v>0.20499999999999999</v>
      </c>
      <c r="Q37" s="15">
        <f>K37/M37</f>
        <v>-1627.5217391304348</v>
      </c>
      <c r="R37" s="15">
        <f>K37/O37</f>
        <v>-547800</v>
      </c>
      <c r="S37" s="44">
        <f>K37/O37/43560</f>
        <v>-12.575757575757576</v>
      </c>
      <c r="T37" s="39">
        <v>69</v>
      </c>
      <c r="U37" s="5" t="s">
        <v>36</v>
      </c>
      <c r="V37" t="s">
        <v>94</v>
      </c>
      <c r="X37" t="s">
        <v>38</v>
      </c>
      <c r="Y37">
        <v>0</v>
      </c>
      <c r="Z37">
        <v>1</v>
      </c>
      <c r="AA37" t="s">
        <v>49</v>
      </c>
      <c r="AC37" s="7" t="s">
        <v>39</v>
      </c>
      <c r="AD37" t="s">
        <v>40</v>
      </c>
      <c r="AE37" t="s">
        <v>95</v>
      </c>
    </row>
    <row r="38" spans="1:32" x14ac:dyDescent="0.25">
      <c r="A38" t="s">
        <v>96</v>
      </c>
      <c r="B38" t="s">
        <v>97</v>
      </c>
      <c r="C38" s="25">
        <v>44130</v>
      </c>
      <c r="D38" s="15">
        <v>830000</v>
      </c>
      <c r="E38" t="s">
        <v>34</v>
      </c>
      <c r="F38" t="s">
        <v>44</v>
      </c>
      <c r="G38" s="15">
        <v>830000</v>
      </c>
      <c r="H38" s="15">
        <v>538800</v>
      </c>
      <c r="I38" s="20">
        <f>H38/G38*100</f>
        <v>64.915662650602414</v>
      </c>
      <c r="J38" s="15">
        <v>1077513</v>
      </c>
      <c r="K38" s="15">
        <f>G38-853113</f>
        <v>-23113</v>
      </c>
      <c r="L38" s="15">
        <v>224400</v>
      </c>
      <c r="M38" s="30">
        <v>132</v>
      </c>
      <c r="N38" s="34">
        <v>132</v>
      </c>
      <c r="O38" s="39">
        <v>0.4</v>
      </c>
      <c r="P38" s="39">
        <v>0.4</v>
      </c>
      <c r="Q38" s="15">
        <f>K38/M38</f>
        <v>-175.09848484848484</v>
      </c>
      <c r="R38" s="15">
        <f>K38/O38</f>
        <v>-57782.5</v>
      </c>
      <c r="S38" s="44">
        <f>K38/O38/43560</f>
        <v>-1.3265036730945823</v>
      </c>
      <c r="T38" s="39">
        <v>132</v>
      </c>
      <c r="U38" s="5" t="s">
        <v>36</v>
      </c>
      <c r="V38" t="s">
        <v>98</v>
      </c>
      <c r="X38" t="s">
        <v>38</v>
      </c>
      <c r="Y38">
        <v>0</v>
      </c>
      <c r="Z38">
        <v>1</v>
      </c>
      <c r="AA38" s="6">
        <v>44935</v>
      </c>
      <c r="AC38" s="7" t="s">
        <v>39</v>
      </c>
      <c r="AD38" t="s">
        <v>40</v>
      </c>
    </row>
    <row r="39" spans="1:32" x14ac:dyDescent="0.25">
      <c r="A39" t="s">
        <v>145</v>
      </c>
      <c r="B39" t="s">
        <v>146</v>
      </c>
      <c r="C39" s="25">
        <v>44477</v>
      </c>
      <c r="D39" s="15">
        <v>700000</v>
      </c>
      <c r="E39" t="s">
        <v>34</v>
      </c>
      <c r="F39" t="s">
        <v>44</v>
      </c>
      <c r="G39" s="15">
        <v>700000</v>
      </c>
      <c r="H39" s="15">
        <v>426300</v>
      </c>
      <c r="I39" s="20">
        <f>H39/G39*100</f>
        <v>60.9</v>
      </c>
      <c r="J39" s="15">
        <v>852672</v>
      </c>
      <c r="K39" s="15">
        <f>G39-763422</f>
        <v>-63422</v>
      </c>
      <c r="L39" s="15">
        <v>89250</v>
      </c>
      <c r="M39" s="30">
        <v>52.5</v>
      </c>
      <c r="N39" s="34">
        <v>105</v>
      </c>
      <c r="O39" s="39">
        <v>0.127</v>
      </c>
      <c r="P39" s="39">
        <v>0.127</v>
      </c>
      <c r="Q39" s="15">
        <f>K39/M39</f>
        <v>-1208.0380952380951</v>
      </c>
      <c r="R39" s="15">
        <f>K39/O39</f>
        <v>-499385.82677165355</v>
      </c>
      <c r="S39" s="44">
        <f>K39/O39/43560</f>
        <v>-11.464321092094893</v>
      </c>
      <c r="T39" s="39">
        <v>52.5</v>
      </c>
      <c r="U39" s="5" t="s">
        <v>36</v>
      </c>
      <c r="V39" t="s">
        <v>147</v>
      </c>
      <c r="X39" t="s">
        <v>38</v>
      </c>
      <c r="Y39">
        <v>0</v>
      </c>
      <c r="Z39">
        <v>1</v>
      </c>
      <c r="AA39" t="s">
        <v>49</v>
      </c>
      <c r="AC39" s="7" t="s">
        <v>39</v>
      </c>
      <c r="AD39" t="s">
        <v>40</v>
      </c>
    </row>
    <row r="40" spans="1:32" x14ac:dyDescent="0.25">
      <c r="A40" t="s">
        <v>160</v>
      </c>
      <c r="B40" t="s">
        <v>161</v>
      </c>
      <c r="C40" s="25">
        <v>44512</v>
      </c>
      <c r="D40" s="15">
        <v>425000</v>
      </c>
      <c r="E40" t="s">
        <v>34</v>
      </c>
      <c r="F40" t="s">
        <v>74</v>
      </c>
      <c r="G40" s="15">
        <v>425000</v>
      </c>
      <c r="H40" s="15">
        <v>237700</v>
      </c>
      <c r="I40" s="20">
        <f t="shared" ref="I40" si="4">H40/G40*100</f>
        <v>55.929411764705883</v>
      </c>
      <c r="J40" s="15">
        <v>475247</v>
      </c>
      <c r="K40" s="15">
        <f>G40-364169</f>
        <v>60831</v>
      </c>
      <c r="L40" s="15">
        <v>111078</v>
      </c>
      <c r="M40" s="30">
        <v>198</v>
      </c>
      <c r="N40" s="34">
        <v>396</v>
      </c>
      <c r="O40" s="39">
        <v>0.66800000000000004</v>
      </c>
      <c r="P40" s="39">
        <v>0.2</v>
      </c>
      <c r="Q40" s="15">
        <f t="shared" ref="Q40" si="5">K40/M40</f>
        <v>307.22727272727275</v>
      </c>
      <c r="R40" s="15">
        <f t="shared" ref="R40" si="6">K40/O40</f>
        <v>91064.371257485021</v>
      </c>
      <c r="S40" s="44">
        <f t="shared" ref="S40" si="7">K40/O40/43560</f>
        <v>2.0905503043499776</v>
      </c>
      <c r="T40" s="39">
        <v>198</v>
      </c>
      <c r="U40" s="5" t="s">
        <v>36</v>
      </c>
      <c r="V40" t="s">
        <v>162</v>
      </c>
      <c r="W40" t="s">
        <v>163</v>
      </c>
      <c r="X40" t="s">
        <v>38</v>
      </c>
      <c r="Y40">
        <v>0</v>
      </c>
      <c r="Z40">
        <v>0</v>
      </c>
      <c r="AA40" t="s">
        <v>49</v>
      </c>
      <c r="AC40" s="7" t="s">
        <v>164</v>
      </c>
      <c r="AD40" t="s">
        <v>40</v>
      </c>
    </row>
    <row r="41" spans="1:32" x14ac:dyDescent="0.25">
      <c r="A41" t="s">
        <v>86</v>
      </c>
      <c r="B41" t="s">
        <v>87</v>
      </c>
      <c r="C41" s="25">
        <v>44053</v>
      </c>
      <c r="D41" s="15">
        <v>500000</v>
      </c>
      <c r="E41" t="s">
        <v>34</v>
      </c>
      <c r="F41" t="s">
        <v>44</v>
      </c>
      <c r="G41" s="15">
        <v>500000</v>
      </c>
      <c r="H41" s="15">
        <v>277100</v>
      </c>
      <c r="I41" s="20">
        <f t="shared" ref="I41:I48" si="8">H41/G41*100</f>
        <v>55.42</v>
      </c>
      <c r="J41" s="15">
        <v>554226</v>
      </c>
      <c r="K41" s="15">
        <f>G41-442026</f>
        <v>57974</v>
      </c>
      <c r="L41" s="15">
        <v>112200</v>
      </c>
      <c r="M41" s="30">
        <v>66</v>
      </c>
      <c r="N41" s="34">
        <v>132</v>
      </c>
      <c r="O41" s="39">
        <v>0.2</v>
      </c>
      <c r="P41" s="39">
        <v>0.2</v>
      </c>
      <c r="Q41" s="15">
        <f t="shared" ref="Q41:Q48" si="9">K41/M41</f>
        <v>878.39393939393938</v>
      </c>
      <c r="R41" s="15">
        <f t="shared" ref="R41:R48" si="10">K41/O41</f>
        <v>289870</v>
      </c>
      <c r="S41" s="44">
        <f t="shared" ref="S41:S48" si="11">K41/O41/43560</f>
        <v>6.6544995408631769</v>
      </c>
      <c r="T41" s="39">
        <v>66</v>
      </c>
      <c r="U41" s="5" t="s">
        <v>36</v>
      </c>
      <c r="V41" t="s">
        <v>88</v>
      </c>
      <c r="X41" t="s">
        <v>38</v>
      </c>
      <c r="Y41">
        <v>0</v>
      </c>
      <c r="Z41">
        <v>1</v>
      </c>
      <c r="AA41" s="6">
        <v>44932</v>
      </c>
      <c r="AC41" s="7" t="s">
        <v>39</v>
      </c>
      <c r="AD41" t="s">
        <v>40</v>
      </c>
    </row>
    <row r="42" spans="1:32" x14ac:dyDescent="0.25">
      <c r="A42" t="s">
        <v>80</v>
      </c>
      <c r="B42" t="s">
        <v>81</v>
      </c>
      <c r="C42" s="25">
        <v>44517</v>
      </c>
      <c r="D42" s="15">
        <v>665000</v>
      </c>
      <c r="E42" t="s">
        <v>34</v>
      </c>
      <c r="F42" t="s">
        <v>44</v>
      </c>
      <c r="G42" s="15">
        <v>665000</v>
      </c>
      <c r="H42" s="15">
        <v>377600</v>
      </c>
      <c r="I42" s="20">
        <f t="shared" si="8"/>
        <v>56.781954887218042</v>
      </c>
      <c r="J42" s="15">
        <v>755288</v>
      </c>
      <c r="K42" s="15">
        <f>G42-586988</f>
        <v>78012</v>
      </c>
      <c r="L42" s="15">
        <v>168300</v>
      </c>
      <c r="M42" s="30">
        <v>99</v>
      </c>
      <c r="N42" s="34">
        <v>132</v>
      </c>
      <c r="O42" s="39">
        <v>0.3</v>
      </c>
      <c r="P42" s="39">
        <v>0.3</v>
      </c>
      <c r="Q42" s="15">
        <f t="shared" si="9"/>
        <v>788</v>
      </c>
      <c r="R42" s="15">
        <f t="shared" si="10"/>
        <v>260040</v>
      </c>
      <c r="S42" s="44">
        <f t="shared" si="11"/>
        <v>5.9696969696969697</v>
      </c>
      <c r="T42" s="39">
        <v>99</v>
      </c>
      <c r="U42" s="5" t="s">
        <v>36</v>
      </c>
      <c r="V42" t="s">
        <v>82</v>
      </c>
      <c r="X42" t="s">
        <v>38</v>
      </c>
      <c r="Y42">
        <v>0</v>
      </c>
      <c r="Z42">
        <v>1</v>
      </c>
      <c r="AA42" s="6">
        <v>44574</v>
      </c>
      <c r="AC42" s="7" t="s">
        <v>39</v>
      </c>
      <c r="AD42" t="s">
        <v>40</v>
      </c>
    </row>
    <row r="43" spans="1:32" x14ac:dyDescent="0.25">
      <c r="A43" t="s">
        <v>60</v>
      </c>
      <c r="B43" t="s">
        <v>61</v>
      </c>
      <c r="C43" s="25">
        <v>43997</v>
      </c>
      <c r="D43" s="15">
        <v>265000</v>
      </c>
      <c r="E43" t="s">
        <v>34</v>
      </c>
      <c r="F43" t="s">
        <v>44</v>
      </c>
      <c r="G43" s="15">
        <v>265000</v>
      </c>
      <c r="H43" s="15">
        <v>190100</v>
      </c>
      <c r="I43" s="20">
        <f t="shared" si="8"/>
        <v>71.735849056603769</v>
      </c>
      <c r="J43" s="15">
        <v>380274</v>
      </c>
      <c r="K43" s="15">
        <f>G43-155874</f>
        <v>109126</v>
      </c>
      <c r="L43" s="15">
        <v>224400</v>
      </c>
      <c r="M43" s="30">
        <v>132</v>
      </c>
      <c r="N43" s="34">
        <v>132</v>
      </c>
      <c r="O43" s="39">
        <v>0.4</v>
      </c>
      <c r="P43" s="39">
        <v>0.4</v>
      </c>
      <c r="Q43" s="15">
        <f t="shared" si="9"/>
        <v>826.71212121212125</v>
      </c>
      <c r="R43" s="15">
        <f t="shared" si="10"/>
        <v>272815</v>
      </c>
      <c r="S43" s="44">
        <f t="shared" si="11"/>
        <v>6.2629706152433426</v>
      </c>
      <c r="T43" s="39">
        <v>132</v>
      </c>
      <c r="U43" s="5" t="s">
        <v>36</v>
      </c>
      <c r="V43" t="s">
        <v>62</v>
      </c>
      <c r="X43" t="s">
        <v>38</v>
      </c>
      <c r="Y43">
        <v>0</v>
      </c>
      <c r="Z43">
        <v>1</v>
      </c>
      <c r="AA43" s="6">
        <v>39478</v>
      </c>
      <c r="AC43" s="7" t="s">
        <v>39</v>
      </c>
      <c r="AD43" t="s">
        <v>40</v>
      </c>
    </row>
    <row r="44" spans="1:32" x14ac:dyDescent="0.25">
      <c r="A44" t="s">
        <v>69</v>
      </c>
      <c r="B44" t="s">
        <v>70</v>
      </c>
      <c r="C44" s="25">
        <v>44421</v>
      </c>
      <c r="D44" s="15">
        <v>665000</v>
      </c>
      <c r="E44" t="s">
        <v>34</v>
      </c>
      <c r="F44" t="s">
        <v>44</v>
      </c>
      <c r="G44" s="15">
        <v>665000</v>
      </c>
      <c r="H44" s="15">
        <v>246000</v>
      </c>
      <c r="I44" s="20">
        <f t="shared" si="8"/>
        <v>36.992481203007522</v>
      </c>
      <c r="J44" s="15">
        <v>492004</v>
      </c>
      <c r="K44" s="15">
        <f>G44-395104</f>
        <v>269896</v>
      </c>
      <c r="L44" s="15">
        <v>96900</v>
      </c>
      <c r="M44" s="30">
        <v>57</v>
      </c>
      <c r="N44" s="34">
        <v>132</v>
      </c>
      <c r="O44" s="39">
        <v>0.17299999999999999</v>
      </c>
      <c r="P44" s="39">
        <v>0.17299999999999999</v>
      </c>
      <c r="Q44" s="15">
        <f t="shared" si="9"/>
        <v>4735.0175438596489</v>
      </c>
      <c r="R44" s="15">
        <f t="shared" si="10"/>
        <v>1560092.485549133</v>
      </c>
      <c r="S44" s="44">
        <f t="shared" si="11"/>
        <v>35.814795352367611</v>
      </c>
      <c r="T44" s="39">
        <v>57</v>
      </c>
      <c r="U44" s="5" t="s">
        <v>36</v>
      </c>
      <c r="V44" t="s">
        <v>71</v>
      </c>
      <c r="X44" t="s">
        <v>38</v>
      </c>
      <c r="Y44">
        <v>0</v>
      </c>
      <c r="Z44">
        <v>1</v>
      </c>
      <c r="AA44" s="6">
        <v>44932</v>
      </c>
      <c r="AC44" s="7" t="s">
        <v>39</v>
      </c>
      <c r="AD44" t="s">
        <v>40</v>
      </c>
    </row>
    <row r="45" spans="1:32" x14ac:dyDescent="0.25">
      <c r="A45" t="s">
        <v>137</v>
      </c>
      <c r="B45" t="s">
        <v>138</v>
      </c>
      <c r="C45" s="25">
        <v>44477</v>
      </c>
      <c r="D45" s="15">
        <v>355750</v>
      </c>
      <c r="E45" t="s">
        <v>34</v>
      </c>
      <c r="F45" t="s">
        <v>44</v>
      </c>
      <c r="G45" s="15">
        <v>355750</v>
      </c>
      <c r="H45" s="15">
        <v>132100</v>
      </c>
      <c r="I45" s="20">
        <f t="shared" si="8"/>
        <v>37.132817990161634</v>
      </c>
      <c r="J45" s="15">
        <v>264147</v>
      </c>
      <c r="K45" s="15">
        <f>G45-121092</f>
        <v>234658</v>
      </c>
      <c r="L45" s="15">
        <v>143055</v>
      </c>
      <c r="M45" s="30">
        <v>67.319999999999993</v>
      </c>
      <c r="N45" s="34">
        <v>100</v>
      </c>
      <c r="O45" s="39">
        <v>0.155</v>
      </c>
      <c r="P45" s="39">
        <v>0.155</v>
      </c>
      <c r="Q45" s="15">
        <f t="shared" si="9"/>
        <v>3485.7100415923951</v>
      </c>
      <c r="R45" s="15">
        <f t="shared" si="10"/>
        <v>1513922.5806451612</v>
      </c>
      <c r="S45" s="44">
        <f t="shared" si="11"/>
        <v>34.754880180100123</v>
      </c>
      <c r="T45" s="39">
        <v>67.319999999999993</v>
      </c>
      <c r="U45" s="5" t="s">
        <v>36</v>
      </c>
      <c r="V45" t="s">
        <v>139</v>
      </c>
      <c r="X45" t="s">
        <v>38</v>
      </c>
      <c r="Y45">
        <v>0</v>
      </c>
      <c r="Z45">
        <v>1</v>
      </c>
      <c r="AA45" t="s">
        <v>49</v>
      </c>
      <c r="AC45" s="7" t="s">
        <v>39</v>
      </c>
      <c r="AD45" t="s">
        <v>40</v>
      </c>
    </row>
    <row r="46" spans="1:32" x14ac:dyDescent="0.25">
      <c r="A46" t="s">
        <v>148</v>
      </c>
      <c r="B46" t="s">
        <v>149</v>
      </c>
      <c r="C46" s="25">
        <v>44160</v>
      </c>
      <c r="D46" s="15">
        <v>184400</v>
      </c>
      <c r="E46" t="s">
        <v>34</v>
      </c>
      <c r="F46" t="s">
        <v>44</v>
      </c>
      <c r="G46" s="15">
        <v>184400</v>
      </c>
      <c r="H46" s="15">
        <v>0</v>
      </c>
      <c r="I46" s="20">
        <f t="shared" si="8"/>
        <v>0</v>
      </c>
      <c r="J46" s="15">
        <v>89250</v>
      </c>
      <c r="K46" s="15">
        <f>G46-0</f>
        <v>184400</v>
      </c>
      <c r="L46" s="15">
        <v>89250</v>
      </c>
      <c r="M46" s="30">
        <v>52.5</v>
      </c>
      <c r="N46" s="34">
        <v>211</v>
      </c>
      <c r="O46" s="39">
        <v>0.254</v>
      </c>
      <c r="P46" s="39">
        <v>0.254</v>
      </c>
      <c r="Q46" s="15">
        <f t="shared" si="9"/>
        <v>3512.3809523809523</v>
      </c>
      <c r="R46" s="15">
        <f t="shared" si="10"/>
        <v>725984.25196850393</v>
      </c>
      <c r="S46" s="44">
        <f t="shared" si="11"/>
        <v>16.666305141609364</v>
      </c>
      <c r="T46" s="39">
        <v>52.5</v>
      </c>
      <c r="U46" s="5" t="s">
        <v>36</v>
      </c>
      <c r="V46" t="s">
        <v>150</v>
      </c>
      <c r="X46" t="s">
        <v>38</v>
      </c>
      <c r="Y46">
        <v>0</v>
      </c>
      <c r="Z46">
        <v>1</v>
      </c>
      <c r="AA46" t="s">
        <v>49</v>
      </c>
      <c r="AC46" s="7" t="s">
        <v>45</v>
      </c>
      <c r="AD46" t="s">
        <v>40</v>
      </c>
    </row>
    <row r="47" spans="1:32" x14ac:dyDescent="0.25">
      <c r="A47" t="s">
        <v>46</v>
      </c>
      <c r="B47" t="s">
        <v>47</v>
      </c>
      <c r="C47" s="25">
        <v>44557</v>
      </c>
      <c r="D47" s="15">
        <v>235000</v>
      </c>
      <c r="E47" t="s">
        <v>43</v>
      </c>
      <c r="F47" t="s">
        <v>48</v>
      </c>
      <c r="G47" s="15">
        <v>235000</v>
      </c>
      <c r="H47" s="15">
        <v>51700</v>
      </c>
      <c r="I47" s="20">
        <f t="shared" si="8"/>
        <v>22</v>
      </c>
      <c r="J47" s="15">
        <v>103499</v>
      </c>
      <c r="K47" s="15">
        <f>G47-0</f>
        <v>235000</v>
      </c>
      <c r="L47" s="15">
        <v>102000</v>
      </c>
      <c r="M47" s="30">
        <v>60</v>
      </c>
      <c r="N47" s="34">
        <v>199.61999499999999</v>
      </c>
      <c r="O47" s="39">
        <v>0.27500000000000002</v>
      </c>
      <c r="P47" s="39">
        <v>0.27500000000000002</v>
      </c>
      <c r="Q47" s="15">
        <f t="shared" si="9"/>
        <v>3916.6666666666665</v>
      </c>
      <c r="R47" s="15">
        <f t="shared" si="10"/>
        <v>854545.45454545447</v>
      </c>
      <c r="S47" s="44">
        <f t="shared" si="11"/>
        <v>19.617664245763418</v>
      </c>
      <c r="T47" s="39">
        <v>60</v>
      </c>
      <c r="U47" s="5" t="s">
        <v>36</v>
      </c>
      <c r="X47" t="s">
        <v>38</v>
      </c>
      <c r="Y47">
        <v>0</v>
      </c>
      <c r="Z47">
        <v>0</v>
      </c>
      <c r="AA47" t="s">
        <v>49</v>
      </c>
      <c r="AC47" s="7" t="s">
        <v>39</v>
      </c>
      <c r="AD47" t="s">
        <v>40</v>
      </c>
    </row>
    <row r="48" spans="1:32" x14ac:dyDescent="0.25">
      <c r="A48" t="s">
        <v>56</v>
      </c>
      <c r="B48" t="s">
        <v>57</v>
      </c>
      <c r="C48" s="25">
        <v>44291</v>
      </c>
      <c r="D48" s="15">
        <v>939000</v>
      </c>
      <c r="E48" t="s">
        <v>34</v>
      </c>
      <c r="F48" t="s">
        <v>44</v>
      </c>
      <c r="G48" s="15">
        <v>939000</v>
      </c>
      <c r="H48" s="15">
        <v>398600</v>
      </c>
      <c r="I48" s="20">
        <f t="shared" si="8"/>
        <v>42.449414270500533</v>
      </c>
      <c r="J48" s="15">
        <v>797165</v>
      </c>
      <c r="K48" s="15">
        <f>G48-684965</f>
        <v>254035</v>
      </c>
      <c r="L48" s="15">
        <v>112200</v>
      </c>
      <c r="M48" s="30">
        <v>66</v>
      </c>
      <c r="N48" s="34">
        <v>132</v>
      </c>
      <c r="O48" s="39">
        <v>0.2</v>
      </c>
      <c r="P48" s="39">
        <v>0.2</v>
      </c>
      <c r="Q48" s="15">
        <f t="shared" si="9"/>
        <v>3849.0151515151515</v>
      </c>
      <c r="R48" s="15">
        <f t="shared" si="10"/>
        <v>1270175</v>
      </c>
      <c r="S48" s="44">
        <f t="shared" si="11"/>
        <v>29.159205693296602</v>
      </c>
      <c r="T48" s="39">
        <v>66</v>
      </c>
      <c r="U48" s="5" t="s">
        <v>58</v>
      </c>
      <c r="V48" t="s">
        <v>59</v>
      </c>
      <c r="X48" t="s">
        <v>38</v>
      </c>
      <c r="Y48">
        <v>0</v>
      </c>
      <c r="Z48">
        <v>1</v>
      </c>
      <c r="AA48" t="s">
        <v>49</v>
      </c>
      <c r="AC48" s="7" t="s">
        <v>39</v>
      </c>
      <c r="AD48" t="s">
        <v>40</v>
      </c>
    </row>
  </sheetData>
  <mergeCells count="2">
    <mergeCell ref="A34:AF34"/>
    <mergeCell ref="A1:AF1"/>
  </mergeCells>
  <conditionalFormatting sqref="A35:AF39 A3:AF24 A41:AF48">
    <cfRule type="expression" dxfId="5" priority="5" stopIfTrue="1">
      <formula>MOD(ROW(),4)&gt;1</formula>
    </cfRule>
    <cfRule type="expression" dxfId="4" priority="6" stopIfTrue="1">
      <formula>MOD(ROW(),4)&lt;2</formula>
    </cfRule>
  </conditionalFormatting>
  <conditionalFormatting sqref="A40:AF48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EA59-0008-42AC-910B-7E6F43AE4A41}">
  <sheetPr>
    <tabColor rgb="FFFFFF00"/>
  </sheetPr>
  <dimension ref="A1:BL11"/>
  <sheetViews>
    <sheetView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8.42578125" bestFit="1" customWidth="1"/>
    <col min="7" max="7" width="11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21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4" t="s">
        <v>175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129</v>
      </c>
      <c r="B3" t="s">
        <v>130</v>
      </c>
      <c r="C3" s="25">
        <v>44377</v>
      </c>
      <c r="D3" s="15">
        <v>450000</v>
      </c>
      <c r="E3" t="s">
        <v>34</v>
      </c>
      <c r="F3" t="s">
        <v>44</v>
      </c>
      <c r="G3" s="15">
        <v>450000</v>
      </c>
      <c r="H3" s="15">
        <v>195100</v>
      </c>
      <c r="I3" s="20">
        <f t="shared" ref="I3:I5" si="0">H3/G3*100</f>
        <v>43.355555555555561</v>
      </c>
      <c r="J3" s="15">
        <v>390144</v>
      </c>
      <c r="K3" s="15">
        <f>G3-236879</f>
        <v>213121</v>
      </c>
      <c r="L3" s="15">
        <v>153265</v>
      </c>
      <c r="M3" s="30">
        <v>66</v>
      </c>
      <c r="N3" s="34">
        <v>170</v>
      </c>
      <c r="O3" s="39">
        <v>0.25800000000000001</v>
      </c>
      <c r="P3" s="39">
        <v>0.25800000000000001</v>
      </c>
      <c r="Q3" s="15">
        <f t="shared" ref="Q3:Q5" si="1">K3/M3</f>
        <v>3229.1060606060605</v>
      </c>
      <c r="R3" s="15">
        <f t="shared" ref="R3:R5" si="2">K3/O3</f>
        <v>826050.38759689918</v>
      </c>
      <c r="S3" s="44">
        <f t="shared" ref="S3:S5" si="3">K3/O3/43560</f>
        <v>18.963507520589971</v>
      </c>
      <c r="T3" s="39">
        <v>66</v>
      </c>
      <c r="U3" s="5" t="s">
        <v>36</v>
      </c>
      <c r="V3" t="s">
        <v>131</v>
      </c>
      <c r="X3" t="s">
        <v>38</v>
      </c>
      <c r="Y3">
        <v>0</v>
      </c>
      <c r="Z3">
        <v>1</v>
      </c>
      <c r="AA3" s="6">
        <v>42481</v>
      </c>
      <c r="AC3" s="7" t="s">
        <v>39</v>
      </c>
      <c r="AD3" t="s">
        <v>132</v>
      </c>
    </row>
    <row r="4" spans="1:64" x14ac:dyDescent="0.25">
      <c r="A4" t="s">
        <v>133</v>
      </c>
      <c r="B4" t="s">
        <v>134</v>
      </c>
      <c r="C4" s="25">
        <v>44379</v>
      </c>
      <c r="D4" s="15">
        <v>136000</v>
      </c>
      <c r="E4" t="s">
        <v>34</v>
      </c>
      <c r="F4" t="s">
        <v>44</v>
      </c>
      <c r="G4" s="15">
        <v>136000</v>
      </c>
      <c r="H4" s="15">
        <v>82200</v>
      </c>
      <c r="I4" s="20">
        <f t="shared" si="0"/>
        <v>60.441176470588232</v>
      </c>
      <c r="J4" s="15">
        <v>164333</v>
      </c>
      <c r="K4" s="15">
        <f>G4-0</f>
        <v>136000</v>
      </c>
      <c r="L4" s="15">
        <v>164333</v>
      </c>
      <c r="M4" s="30">
        <v>99.1</v>
      </c>
      <c r="N4" s="34">
        <v>130</v>
      </c>
      <c r="O4" s="39">
        <v>0.29599999999999999</v>
      </c>
      <c r="P4" s="39">
        <v>0.29599999999999999</v>
      </c>
      <c r="Q4" s="15">
        <f t="shared" si="1"/>
        <v>1372.3511604439962</v>
      </c>
      <c r="R4" s="15">
        <f t="shared" si="2"/>
        <v>459459.45945945947</v>
      </c>
      <c r="S4" s="44">
        <f t="shared" si="3"/>
        <v>10.547737820465093</v>
      </c>
      <c r="T4" s="39">
        <v>99.1</v>
      </c>
      <c r="U4" s="5" t="s">
        <v>36</v>
      </c>
      <c r="V4" t="s">
        <v>135</v>
      </c>
      <c r="X4" t="s">
        <v>38</v>
      </c>
      <c r="Y4">
        <v>0</v>
      </c>
      <c r="Z4">
        <v>1</v>
      </c>
      <c r="AA4" t="s">
        <v>49</v>
      </c>
      <c r="AC4" s="7" t="s">
        <v>136</v>
      </c>
      <c r="AD4" t="s">
        <v>132</v>
      </c>
    </row>
    <row r="5" spans="1:64" ht="15.75" thickBot="1" x14ac:dyDescent="0.3">
      <c r="A5" t="s">
        <v>140</v>
      </c>
      <c r="B5" t="s">
        <v>141</v>
      </c>
      <c r="C5" s="25">
        <v>44375</v>
      </c>
      <c r="D5" s="15">
        <v>650000</v>
      </c>
      <c r="E5" t="s">
        <v>34</v>
      </c>
      <c r="F5" t="s">
        <v>44</v>
      </c>
      <c r="G5" s="15">
        <v>610000</v>
      </c>
      <c r="H5" s="15">
        <v>303900</v>
      </c>
      <c r="I5" s="20">
        <f t="shared" si="0"/>
        <v>49.819672131147541</v>
      </c>
      <c r="J5" s="15">
        <v>607847</v>
      </c>
      <c r="K5" s="15">
        <f>G5-385097</f>
        <v>224903</v>
      </c>
      <c r="L5" s="15">
        <v>222750</v>
      </c>
      <c r="M5" s="30">
        <v>90</v>
      </c>
      <c r="N5" s="34">
        <v>108</v>
      </c>
      <c r="O5" s="39">
        <v>0.223</v>
      </c>
      <c r="P5" s="39">
        <v>0.223</v>
      </c>
      <c r="Q5" s="15">
        <f t="shared" si="1"/>
        <v>2498.9222222222224</v>
      </c>
      <c r="R5" s="15">
        <f t="shared" si="2"/>
        <v>1008533.6322869955</v>
      </c>
      <c r="S5" s="44">
        <f t="shared" si="3"/>
        <v>23.15274637940761</v>
      </c>
      <c r="T5" s="39">
        <v>90</v>
      </c>
      <c r="U5" s="5" t="s">
        <v>142</v>
      </c>
      <c r="V5" t="s">
        <v>143</v>
      </c>
      <c r="X5" t="s">
        <v>38</v>
      </c>
      <c r="Y5">
        <v>0</v>
      </c>
      <c r="Z5">
        <v>1</v>
      </c>
      <c r="AA5" s="6">
        <v>44915</v>
      </c>
      <c r="AC5" s="7" t="s">
        <v>144</v>
      </c>
      <c r="AD5" t="s">
        <v>132</v>
      </c>
    </row>
    <row r="6" spans="1:64" ht="15.75" thickTop="1" x14ac:dyDescent="0.25">
      <c r="A6" s="8"/>
      <c r="B6" s="8"/>
      <c r="C6" s="26" t="s">
        <v>165</v>
      </c>
      <c r="D6" s="16">
        <f>+SUM(D3:D5)</f>
        <v>1236000</v>
      </c>
      <c r="E6" s="8"/>
      <c r="F6" s="8"/>
      <c r="G6" s="16">
        <f>+SUM(G3:G5)</f>
        <v>1196000</v>
      </c>
      <c r="H6" s="16">
        <f>+SUM(H3:H5)</f>
        <v>581200</v>
      </c>
      <c r="I6" s="21"/>
      <c r="J6" s="16">
        <f>+SUM(J3:J5)</f>
        <v>1162324</v>
      </c>
      <c r="K6" s="16">
        <f>+SUM(K3:K5)</f>
        <v>574024</v>
      </c>
      <c r="L6" s="16">
        <f>+SUM(L3:L5)</f>
        <v>540348</v>
      </c>
      <c r="M6" s="31">
        <f>+SUM(M3:M5)</f>
        <v>255.1</v>
      </c>
      <c r="N6" s="35"/>
      <c r="O6" s="40">
        <f>+SUM(O3:O5)</f>
        <v>0.77700000000000002</v>
      </c>
      <c r="P6" s="40">
        <f>+SUM(P3:P5)</f>
        <v>0.77700000000000002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4" x14ac:dyDescent="0.25">
      <c r="A7" s="10"/>
      <c r="B7" s="10"/>
      <c r="C7" s="27"/>
      <c r="D7" s="17"/>
      <c r="E7" s="10"/>
      <c r="F7" s="10"/>
      <c r="G7" s="17"/>
      <c r="H7" s="17" t="s">
        <v>166</v>
      </c>
      <c r="I7" s="22">
        <f>H6/G6*100</f>
        <v>48.595317725752508</v>
      </c>
      <c r="J7" s="17"/>
      <c r="K7" s="17"/>
      <c r="L7" s="17" t="s">
        <v>167</v>
      </c>
      <c r="M7" s="32"/>
      <c r="N7" s="36"/>
      <c r="O7" s="41" t="s">
        <v>167</v>
      </c>
      <c r="P7" s="41"/>
      <c r="Q7" s="17"/>
      <c r="R7" s="17" t="s">
        <v>167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64" x14ac:dyDescent="0.25">
      <c r="A8" s="12"/>
      <c r="B8" s="12"/>
      <c r="C8" s="28"/>
      <c r="D8" s="18"/>
      <c r="E8" s="12"/>
      <c r="F8" s="12"/>
      <c r="G8" s="18"/>
      <c r="H8" s="18" t="s">
        <v>168</v>
      </c>
      <c r="I8" s="23">
        <f>STDEV(I3:I5)</f>
        <v>8.6266988625217724</v>
      </c>
      <c r="J8" s="18"/>
      <c r="K8" s="18"/>
      <c r="L8" s="18" t="s">
        <v>169</v>
      </c>
      <c r="M8" s="48">
        <f>K6/M6</f>
        <v>2250.1920815366525</v>
      </c>
      <c r="N8" s="37"/>
      <c r="O8" s="42" t="s">
        <v>170</v>
      </c>
      <c r="P8" s="42">
        <f>K6/O6</f>
        <v>738769.62676962675</v>
      </c>
      <c r="Q8" s="18"/>
      <c r="R8" s="18" t="s">
        <v>171</v>
      </c>
      <c r="S8" s="47">
        <f>K6/O6/43560</f>
        <v>16.959816959816958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64" x14ac:dyDescent="0.25">
      <c r="K10" s="49"/>
      <c r="L10" s="50" t="s">
        <v>174</v>
      </c>
      <c r="M10" s="51">
        <v>2250</v>
      </c>
    </row>
    <row r="11" spans="1:64" x14ac:dyDescent="0.25">
      <c r="L11" s="15" t="s">
        <v>173</v>
      </c>
    </row>
  </sheetData>
  <mergeCells count="1">
    <mergeCell ref="A1:AF1"/>
  </mergeCells>
  <conditionalFormatting sqref="A3:AF5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EHRES</vt:lpstr>
      <vt:lpstr>Lake Street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2023-02-01T15:27:18Z</dcterms:created>
  <dcterms:modified xsi:type="dcterms:W3CDTF">2023-03-14T13:43:05Z</dcterms:modified>
</cp:coreProperties>
</file>