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13_ncr:1_{48839B95-8CBD-4DF5-9326-DEC895D3FEFC}" xr6:coauthVersionLast="47" xr6:coauthVersionMax="47" xr10:uidLastSave="{00000000-0000-0000-0000-000000000000}"/>
  <bookViews>
    <workbookView xWindow="-120" yWindow="-120" windowWidth="29040" windowHeight="15840" activeTab="3" xr2:uid="{E2D3165A-703A-49D6-BB6E-BE0A00F0CD73}"/>
  </bookViews>
  <sheets>
    <sheet name="PARK ST BACK" sheetId="1" r:id="rId1"/>
    <sheet name="WEST RES" sheetId="3" r:id="rId2"/>
    <sheet name="PARK ST VIEW" sheetId="4" r:id="rId3"/>
    <sheet name="FREDRICK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4" l="1"/>
  <c r="K6" i="1"/>
  <c r="K3" i="1"/>
  <c r="K4" i="1"/>
  <c r="M5" i="3"/>
  <c r="P6" i="5" l="1"/>
  <c r="O6" i="5"/>
  <c r="M6" i="5"/>
  <c r="L6" i="5"/>
  <c r="J6" i="5"/>
  <c r="H6" i="5"/>
  <c r="G6" i="5"/>
  <c r="D6" i="5"/>
  <c r="K5" i="5"/>
  <c r="S5" i="5" s="1"/>
  <c r="I5" i="5"/>
  <c r="K4" i="5"/>
  <c r="R4" i="5" s="1"/>
  <c r="I4" i="5"/>
  <c r="K3" i="5"/>
  <c r="S3" i="5" s="1"/>
  <c r="I3" i="5"/>
  <c r="I8" i="5" s="1"/>
  <c r="D7" i="3"/>
  <c r="G7" i="3"/>
  <c r="H7" i="3"/>
  <c r="J7" i="3"/>
  <c r="L7" i="3"/>
  <c r="M7" i="3"/>
  <c r="O7" i="3"/>
  <c r="P7" i="3"/>
  <c r="P5" i="4"/>
  <c r="O5" i="4"/>
  <c r="M5" i="4"/>
  <c r="L5" i="4"/>
  <c r="J5" i="4"/>
  <c r="H5" i="4"/>
  <c r="I6" i="4" s="1"/>
  <c r="G5" i="4"/>
  <c r="D5" i="4"/>
  <c r="K4" i="4"/>
  <c r="S4" i="4" s="1"/>
  <c r="I4" i="4"/>
  <c r="K16" i="4"/>
  <c r="S16" i="4" s="1"/>
  <c r="I16" i="4"/>
  <c r="K15" i="4"/>
  <c r="S15" i="4" s="1"/>
  <c r="I15" i="4"/>
  <c r="Q3" i="4"/>
  <c r="I3" i="4"/>
  <c r="K19" i="3"/>
  <c r="S19" i="3" s="1"/>
  <c r="I19" i="3"/>
  <c r="K18" i="3"/>
  <c r="Q18" i="3" s="1"/>
  <c r="I18" i="3"/>
  <c r="K17" i="3"/>
  <c r="S17" i="3" s="1"/>
  <c r="I17" i="3"/>
  <c r="K6" i="3"/>
  <c r="S6" i="3" s="1"/>
  <c r="I6" i="3"/>
  <c r="K5" i="3"/>
  <c r="R5" i="3" s="1"/>
  <c r="I5" i="3"/>
  <c r="K4" i="3"/>
  <c r="Q4" i="3" s="1"/>
  <c r="I4" i="3"/>
  <c r="K3" i="3"/>
  <c r="R3" i="3" s="1"/>
  <c r="I3" i="3"/>
  <c r="P7" i="1"/>
  <c r="O7" i="1"/>
  <c r="M7" i="1"/>
  <c r="L7" i="1"/>
  <c r="J7" i="1"/>
  <c r="H7" i="1"/>
  <c r="G7" i="1"/>
  <c r="D7" i="1"/>
  <c r="S6" i="1"/>
  <c r="I6" i="1"/>
  <c r="K5" i="1"/>
  <c r="Q5" i="1" s="1"/>
  <c r="I5" i="1"/>
  <c r="S4" i="1"/>
  <c r="I4" i="1"/>
  <c r="K17" i="1"/>
  <c r="S17" i="1" s="1"/>
  <c r="I17" i="1"/>
  <c r="Q3" i="1"/>
  <c r="I3" i="1"/>
  <c r="I7" i="5" l="1"/>
  <c r="S4" i="5"/>
  <c r="R5" i="5"/>
  <c r="R3" i="5"/>
  <c r="Q4" i="5"/>
  <c r="K6" i="5"/>
  <c r="Q5" i="5"/>
  <c r="Q3" i="5"/>
  <c r="I7" i="4"/>
  <c r="Q15" i="4"/>
  <c r="Q4" i="4"/>
  <c r="K7" i="3"/>
  <c r="R4" i="3"/>
  <c r="S4" i="3"/>
  <c r="Q19" i="3"/>
  <c r="I8" i="3"/>
  <c r="S18" i="3"/>
  <c r="Q3" i="3"/>
  <c r="R19" i="3"/>
  <c r="R18" i="3"/>
  <c r="S3" i="3"/>
  <c r="I9" i="3"/>
  <c r="S5" i="3"/>
  <c r="I9" i="1"/>
  <c r="R3" i="1"/>
  <c r="S3" i="1"/>
  <c r="Q4" i="1"/>
  <c r="R4" i="1"/>
  <c r="I8" i="1"/>
  <c r="R5" i="1"/>
  <c r="S5" i="1"/>
  <c r="Q17" i="1"/>
  <c r="Q6" i="1"/>
  <c r="R3" i="4"/>
  <c r="S3" i="4"/>
  <c r="R16" i="4"/>
  <c r="Q16" i="4"/>
  <c r="K5" i="4"/>
  <c r="R15" i="4"/>
  <c r="R4" i="4"/>
  <c r="R17" i="3"/>
  <c r="Q6" i="3"/>
  <c r="R6" i="3"/>
  <c r="Q5" i="3"/>
  <c r="Q17" i="3"/>
  <c r="R6" i="1"/>
  <c r="K7" i="1"/>
  <c r="R17" i="1"/>
  <c r="S8" i="5" l="1"/>
  <c r="P8" i="5"/>
  <c r="M8" i="5"/>
  <c r="S7" i="4"/>
  <c r="M7" i="4"/>
  <c r="P7" i="4"/>
  <c r="S9" i="3"/>
  <c r="M9" i="3"/>
  <c r="P9" i="3"/>
  <c r="S9" i="1"/>
  <c r="P9" i="1"/>
  <c r="M9" i="1"/>
</calcChain>
</file>

<file path=xl/sharedStrings.xml><?xml version="1.0" encoding="utf-8"?>
<sst xmlns="http://schemas.openxmlformats.org/spreadsheetml/2006/main" count="348" uniqueCount="112">
  <si>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</si>
  <si>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</si>
  <si>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</si>
  <si>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</si>
  <si>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</si>
  <si>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</si>
  <si>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</si>
  <si>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</si>
  <si>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</si>
  <si>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</si>
  <si>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</si>
  <si>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</si>
  <si>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</si>
  <si>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</si>
  <si>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</si>
  <si>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</si>
  <si>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</si>
  <si>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</si>
  <si>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</si>
  <si>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</si>
  <si>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</si>
  <si>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</si>
  <si>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</si>
  <si>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</si>
  <si>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</si>
  <si>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</si>
  <si>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</si>
  <si>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</si>
  <si>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</si>
  <si>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</si>
  <si>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</si>
  <si>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</si>
  <si>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57-008-003-10</t>
  </si>
  <si>
    <t>540 CAMPBELL</t>
  </si>
  <si>
    <t>WD</t>
  </si>
  <si>
    <t>03-ARM'S LENGTH</t>
  </si>
  <si>
    <t>WRES</t>
  </si>
  <si>
    <t>4519/15</t>
  </si>
  <si>
    <t>WEST RESIDENTIAL</t>
  </si>
  <si>
    <t>401</t>
  </si>
  <si>
    <t>WEST RESIDENTIA</t>
  </si>
  <si>
    <t>57-008-006-00</t>
  </si>
  <si>
    <t>574 CAMPBELL</t>
  </si>
  <si>
    <t>4566/714</t>
  </si>
  <si>
    <t>57-009-026-01</t>
  </si>
  <si>
    <t>876 PARK</t>
  </si>
  <si>
    <t>PTA</t>
  </si>
  <si>
    <t>NOT INSPECTED</t>
  </si>
  <si>
    <t>PARK ST VIEW</t>
  </si>
  <si>
    <t>57-009-073-10</t>
  </si>
  <si>
    <t>184 PARK</t>
  </si>
  <si>
    <t>4608/340</t>
  </si>
  <si>
    <t>402</t>
  </si>
  <si>
    <t>57-009-087-10</t>
  </si>
  <si>
    <t>37 PARK</t>
  </si>
  <si>
    <t>CD</t>
  </si>
  <si>
    <t>33-TO BE DETERMINED</t>
  </si>
  <si>
    <t>4538/205</t>
  </si>
  <si>
    <t>57-150-002-00</t>
  </si>
  <si>
    <t>67 PARK</t>
  </si>
  <si>
    <t>4617/88</t>
  </si>
  <si>
    <t>PARK ST BACK</t>
  </si>
  <si>
    <t>57-400-012-10</t>
  </si>
  <si>
    <t>781 MANCHESTER</t>
  </si>
  <si>
    <t>4556/461</t>
  </si>
  <si>
    <t>4706/954</t>
  </si>
  <si>
    <t>57-410-013-10</t>
  </si>
  <si>
    <t>776 MANCHESTER</t>
  </si>
  <si>
    <t>4485/617</t>
  </si>
  <si>
    <t>57-420-023-00</t>
  </si>
  <si>
    <t>777 MANCHESTER</t>
  </si>
  <si>
    <t>4483/224</t>
  </si>
  <si>
    <t>57-550-014-00</t>
  </si>
  <si>
    <t>336 PARK</t>
  </si>
  <si>
    <t>4553/434</t>
  </si>
  <si>
    <t>57-550-015-00</t>
  </si>
  <si>
    <t>340 PARK</t>
  </si>
  <si>
    <t>4553/448</t>
  </si>
  <si>
    <t>57-650-004-00</t>
  </si>
  <si>
    <t>714 PARK</t>
  </si>
  <si>
    <t>PRKAD</t>
  </si>
  <si>
    <t>4668/384</t>
  </si>
  <si>
    <t>57-650-006-00</t>
  </si>
  <si>
    <t>140 VAN DALSON</t>
  </si>
  <si>
    <t>4532/692</t>
  </si>
  <si>
    <t>57-650-009-00</t>
  </si>
  <si>
    <t>127 VAN DALSON</t>
  </si>
  <si>
    <t>4540/287</t>
  </si>
  <si>
    <t>57-700-007-00</t>
  </si>
  <si>
    <t>PARK</t>
  </si>
  <si>
    <t>WK1WF</t>
  </si>
  <si>
    <t>4529/818</t>
  </si>
  <si>
    <t>FREDRICK</t>
  </si>
  <si>
    <t>57-850-017-00</t>
  </si>
  <si>
    <t>441 FREDERICK</t>
  </si>
  <si>
    <t>4711/687</t>
  </si>
  <si>
    <t>57-850-020-00</t>
  </si>
  <si>
    <t>4564/55</t>
  </si>
  <si>
    <t>4564/57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</si>
  <si>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</si>
  <si>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</si>
  <si>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</si>
  <si>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</si>
  <si>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</si>
  <si>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</si>
  <si>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</si>
  <si>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Not Used</t>
  </si>
  <si>
    <t>CONCLUDED FF RATE</t>
  </si>
  <si>
    <t>LAND TABLE WRES WEST RESIDENTIAL (WEST RESIDENTIA)</t>
  </si>
  <si>
    <t>LAND TABLE WRES WEST RESIDENTIAL (PARK ST BACK)</t>
  </si>
  <si>
    <t>LAND TABLE WRES WEST RESIDENTIAL (PARK ST VIEW)</t>
  </si>
  <si>
    <t>LAND TABLE WRES WEST RESIDENTIAL (FREDRICK)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</si>
</sst>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6" fontId="0" fillId="4" borderId="0" xfId="0" applyNumberFormat="1" applyFill="1"/>
    <xf numFmtId="6" fontId="0" fillId="4" borderId="0" xfId="0" applyNumberFormat="1" applyFill="1" applyAlignment="1">
      <alignment horizontal="right"/>
    </xf>
    <xf numFmtId="38" fontId="0" fillId="4" borderId="0" xfId="0" applyNumberFormat="1" applyFill="1"/>
    <xf numFmtId="166" fontId="0" fillId="4" borderId="0" xfId="0" applyNumberFormat="1" applyFill="1"/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8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2CB2-45B9-4318-83D5-8C8A69AD7A0D}">
  <sheetPr>
    <tabColor rgb="FFFFFF00"/>
  </sheetPr>
  <dimension ref="A1:BL17"/>
  <sheetViews>
    <sheetView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6.570312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30.140625" bestFit="1" customWidth="1"/>
    <col min="7" max="7" width="10.85546875" style="15" bestFit="1" customWidth="1"/>
    <col min="8" max="8" width="12.7109375" style="15" bestFit="1" customWidth="1"/>
    <col min="9" max="9" width="12.85546875" style="20" bestFit="1" customWidth="1"/>
    <col min="10" max="10" width="15.140625" style="15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2.4257812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26.85546875" bestFit="1" customWidth="1"/>
    <col min="24" max="24" width="17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1" width="16.7109375" bestFit="1" customWidth="1"/>
    <col min="32" max="32" width="12.42578125" bestFit="1" customWidth="1"/>
  </cols>
  <sheetData>
    <row r="1" spans="1:64" x14ac:dyDescent="0.25">
      <c r="A1" s="54" t="s">
        <v>109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58</v>
      </c>
      <c r="B3" t="s">
        <v>59</v>
      </c>
      <c r="C3" s="25">
        <v>44300</v>
      </c>
      <c r="D3" s="15">
        <v>265000</v>
      </c>
      <c r="E3" t="s">
        <v>34</v>
      </c>
      <c r="F3" t="s">
        <v>35</v>
      </c>
      <c r="G3" s="15">
        <v>265000</v>
      </c>
      <c r="H3" s="15">
        <v>102200</v>
      </c>
      <c r="I3" s="20">
        <f t="shared" ref="I3:I6" si="0">H3/G3*100</f>
        <v>38.566037735849058</v>
      </c>
      <c r="J3" s="15">
        <v>246383</v>
      </c>
      <c r="K3" s="15">
        <f>G3-173509</f>
        <v>91491</v>
      </c>
      <c r="L3" s="15">
        <v>72874</v>
      </c>
      <c r="M3" s="30">
        <v>42.867230999999997</v>
      </c>
      <c r="N3" s="34">
        <v>86</v>
      </c>
      <c r="O3" s="39">
        <v>9.9000000000000005E-2</v>
      </c>
      <c r="P3" s="39">
        <v>9.9000000000000005E-2</v>
      </c>
      <c r="Q3" s="15">
        <f t="shared" ref="Q3:Q6" si="1">K3/M3</f>
        <v>2134.2876100394728</v>
      </c>
      <c r="R3" s="15">
        <f t="shared" ref="R3:R6" si="2">K3/O3</f>
        <v>924151.51515151514</v>
      </c>
      <c r="S3" s="44">
        <f t="shared" ref="S3:S6" si="3">K3/O3/43560</f>
        <v>21.215599521384647</v>
      </c>
      <c r="T3" s="39">
        <v>50.3</v>
      </c>
      <c r="U3" s="5" t="s">
        <v>36</v>
      </c>
      <c r="V3" t="s">
        <v>60</v>
      </c>
      <c r="X3" t="s">
        <v>38</v>
      </c>
      <c r="Y3">
        <v>0</v>
      </c>
      <c r="Z3">
        <v>1</v>
      </c>
      <c r="AA3" s="6">
        <v>39632</v>
      </c>
      <c r="AC3" s="7" t="s">
        <v>39</v>
      </c>
      <c r="AD3" t="s">
        <v>61</v>
      </c>
    </row>
    <row r="4" spans="1:64" x14ac:dyDescent="0.25">
      <c r="A4" t="s">
        <v>78</v>
      </c>
      <c r="B4" t="s">
        <v>79</v>
      </c>
      <c r="C4" s="25">
        <v>44432</v>
      </c>
      <c r="D4" s="15">
        <v>682500</v>
      </c>
      <c r="E4" t="s">
        <v>34</v>
      </c>
      <c r="F4" t="s">
        <v>35</v>
      </c>
      <c r="G4" s="15">
        <v>682500</v>
      </c>
      <c r="H4" s="15">
        <v>286600</v>
      </c>
      <c r="I4" s="20">
        <f t="shared" si="0"/>
        <v>41.992673992673993</v>
      </c>
      <c r="J4" s="15">
        <v>679070</v>
      </c>
      <c r="K4" s="15">
        <f>G4-599733</f>
        <v>82767</v>
      </c>
      <c r="L4" s="15">
        <v>79337</v>
      </c>
      <c r="M4" s="30">
        <v>46.669047999999997</v>
      </c>
      <c r="N4" s="34">
        <v>66</v>
      </c>
      <c r="O4" s="39">
        <v>0.1</v>
      </c>
      <c r="P4" s="39">
        <v>0.1</v>
      </c>
      <c r="Q4" s="15">
        <f t="shared" si="1"/>
        <v>1773.4880728657677</v>
      </c>
      <c r="R4" s="15">
        <f t="shared" si="2"/>
        <v>827670</v>
      </c>
      <c r="S4" s="44">
        <f t="shared" si="3"/>
        <v>19.000688705234161</v>
      </c>
      <c r="T4" s="39">
        <v>66</v>
      </c>
      <c r="U4" s="5" t="s">
        <v>80</v>
      </c>
      <c r="V4" t="s">
        <v>81</v>
      </c>
      <c r="X4" t="s">
        <v>38</v>
      </c>
      <c r="Y4">
        <v>0</v>
      </c>
      <c r="Z4">
        <v>1</v>
      </c>
      <c r="AA4" s="6">
        <v>39738</v>
      </c>
      <c r="AC4" s="7" t="s">
        <v>39</v>
      </c>
      <c r="AD4" t="s">
        <v>61</v>
      </c>
    </row>
    <row r="5" spans="1:64" x14ac:dyDescent="0.25">
      <c r="A5" t="s">
        <v>82</v>
      </c>
      <c r="B5" t="s">
        <v>83</v>
      </c>
      <c r="C5" s="25">
        <v>44131</v>
      </c>
      <c r="D5" s="15">
        <v>788900</v>
      </c>
      <c r="E5" t="s">
        <v>34</v>
      </c>
      <c r="F5" t="s">
        <v>35</v>
      </c>
      <c r="G5" s="15">
        <v>788900</v>
      </c>
      <c r="H5" s="15">
        <v>393500</v>
      </c>
      <c r="I5" s="20">
        <f t="shared" si="0"/>
        <v>49.879579160856892</v>
      </c>
      <c r="J5" s="15">
        <v>786943</v>
      </c>
      <c r="K5" s="15">
        <f>G5-648809</f>
        <v>140091</v>
      </c>
      <c r="L5" s="15">
        <v>138134</v>
      </c>
      <c r="M5" s="30">
        <v>81.255531000000005</v>
      </c>
      <c r="N5" s="34">
        <v>66</v>
      </c>
      <c r="O5" s="39">
        <v>0.2</v>
      </c>
      <c r="P5" s="39">
        <v>0.2</v>
      </c>
      <c r="Q5" s="15">
        <f t="shared" si="1"/>
        <v>1724.0795583503109</v>
      </c>
      <c r="R5" s="15">
        <f t="shared" si="2"/>
        <v>700455</v>
      </c>
      <c r="S5" s="44">
        <f t="shared" si="3"/>
        <v>16.080234159779614</v>
      </c>
      <c r="T5" s="39">
        <v>132</v>
      </c>
      <c r="U5" s="5" t="s">
        <v>80</v>
      </c>
      <c r="V5" t="s">
        <v>84</v>
      </c>
      <c r="X5" t="s">
        <v>38</v>
      </c>
      <c r="Y5">
        <v>1</v>
      </c>
      <c r="Z5">
        <v>0</v>
      </c>
      <c r="AA5" s="6">
        <v>39738</v>
      </c>
      <c r="AC5" s="7" t="s">
        <v>39</v>
      </c>
      <c r="AD5" t="s">
        <v>61</v>
      </c>
    </row>
    <row r="6" spans="1:64" ht="15.75" thickBot="1" x14ac:dyDescent="0.3">
      <c r="A6" t="s">
        <v>85</v>
      </c>
      <c r="B6" t="s">
        <v>86</v>
      </c>
      <c r="C6" s="25">
        <v>44151</v>
      </c>
      <c r="D6" s="15">
        <v>210000</v>
      </c>
      <c r="E6" t="s">
        <v>34</v>
      </c>
      <c r="F6" t="s">
        <v>35</v>
      </c>
      <c r="G6" s="15">
        <v>210000</v>
      </c>
      <c r="H6" s="15">
        <v>77500</v>
      </c>
      <c r="I6" s="20">
        <f t="shared" si="0"/>
        <v>36.904761904761905</v>
      </c>
      <c r="J6" s="15">
        <v>193641</v>
      </c>
      <c r="K6" s="15">
        <f>G6-114304</f>
        <v>95696</v>
      </c>
      <c r="L6" s="15">
        <v>79337</v>
      </c>
      <c r="M6" s="30">
        <v>46.669047999999997</v>
      </c>
      <c r="N6" s="34">
        <v>66</v>
      </c>
      <c r="O6" s="39">
        <v>0.1</v>
      </c>
      <c r="P6" s="39">
        <v>0.1</v>
      </c>
      <c r="Q6" s="15">
        <f t="shared" si="1"/>
        <v>2050.5239361214312</v>
      </c>
      <c r="R6" s="15">
        <f t="shared" si="2"/>
        <v>956960</v>
      </c>
      <c r="S6" s="44">
        <f t="shared" si="3"/>
        <v>21.968778696051423</v>
      </c>
      <c r="T6" s="39">
        <v>66</v>
      </c>
      <c r="U6" s="5" t="s">
        <v>80</v>
      </c>
      <c r="V6" t="s">
        <v>87</v>
      </c>
      <c r="X6" t="s">
        <v>38</v>
      </c>
      <c r="Y6">
        <v>1</v>
      </c>
      <c r="Z6">
        <v>0</v>
      </c>
      <c r="AA6" s="6">
        <v>44935</v>
      </c>
      <c r="AC6" s="7" t="s">
        <v>39</v>
      </c>
      <c r="AD6" t="s">
        <v>61</v>
      </c>
    </row>
    <row r="7" spans="1:64" ht="15.75" thickTop="1" x14ac:dyDescent="0.25">
      <c r="A7" s="8"/>
      <c r="B7" s="8"/>
      <c r="C7" s="26" t="s">
        <v>99</v>
      </c>
      <c r="D7" s="16">
        <f>+SUM(D3:D6)</f>
        <v>1946400</v>
      </c>
      <c r="E7" s="8"/>
      <c r="F7" s="8"/>
      <c r="G7" s="16">
        <f>+SUM(G3:G6)</f>
        <v>1946400</v>
      </c>
      <c r="H7" s="16">
        <f>+SUM(H3:H6)</f>
        <v>859800</v>
      </c>
      <c r="I7" s="21"/>
      <c r="J7" s="16">
        <f>+SUM(J3:J6)</f>
        <v>1906037</v>
      </c>
      <c r="K7" s="16">
        <f>+SUM(K3:K6)</f>
        <v>410045</v>
      </c>
      <c r="L7" s="16">
        <f>+SUM(L3:L6)</f>
        <v>369682</v>
      </c>
      <c r="M7" s="31">
        <f>+SUM(M3:M6)</f>
        <v>217.460858</v>
      </c>
      <c r="N7" s="35"/>
      <c r="O7" s="40">
        <f>+SUM(O3:O6)</f>
        <v>0.499</v>
      </c>
      <c r="P7" s="40">
        <f>+SUM(P3:P6)</f>
        <v>0.499</v>
      </c>
      <c r="Q7" s="16"/>
      <c r="R7" s="16"/>
      <c r="S7" s="45"/>
      <c r="T7" s="40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64" x14ac:dyDescent="0.25">
      <c r="A8" s="10"/>
      <c r="B8" s="10"/>
      <c r="C8" s="27"/>
      <c r="D8" s="17"/>
      <c r="E8" s="10"/>
      <c r="F8" s="10"/>
      <c r="G8" s="17"/>
      <c r="H8" s="17" t="s">
        <v>100</v>
      </c>
      <c r="I8" s="22">
        <f>H7/G7*100</f>
        <v>44.173859432799013</v>
      </c>
      <c r="J8" s="17"/>
      <c r="K8" s="17"/>
      <c r="L8" s="17" t="s">
        <v>101</v>
      </c>
      <c r="M8" s="32"/>
      <c r="N8" s="36"/>
      <c r="O8" s="41" t="s">
        <v>101</v>
      </c>
      <c r="P8" s="41"/>
      <c r="Q8" s="17"/>
      <c r="R8" s="17" t="s">
        <v>101</v>
      </c>
      <c r="S8" s="46"/>
      <c r="T8" s="41"/>
      <c r="U8" s="11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64" x14ac:dyDescent="0.25">
      <c r="A9" s="12"/>
      <c r="B9" s="12"/>
      <c r="C9" s="28"/>
      <c r="D9" s="18"/>
      <c r="E9" s="12"/>
      <c r="F9" s="12"/>
      <c r="G9" s="18"/>
      <c r="H9" s="18" t="s">
        <v>102</v>
      </c>
      <c r="I9" s="23">
        <f>STDEV(I3:I6)</f>
        <v>5.7658036327283808</v>
      </c>
      <c r="J9" s="18"/>
      <c r="K9" s="18"/>
      <c r="L9" s="18" t="s">
        <v>103</v>
      </c>
      <c r="M9" s="48">
        <f>K7/M7</f>
        <v>1885.6037071278363</v>
      </c>
      <c r="N9" s="37"/>
      <c r="O9" s="42" t="s">
        <v>104</v>
      </c>
      <c r="P9" s="42">
        <f>K7/O7</f>
        <v>821733.46693386778</v>
      </c>
      <c r="Q9" s="18"/>
      <c r="R9" s="18" t="s">
        <v>105</v>
      </c>
      <c r="S9" s="47">
        <f>K7/O7/43560</f>
        <v>18.864404658720563</v>
      </c>
      <c r="T9" s="42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1" spans="1:64" x14ac:dyDescent="0.25">
      <c r="K11" s="49"/>
      <c r="L11" s="50" t="s">
        <v>107</v>
      </c>
      <c r="M11" s="51">
        <v>1885</v>
      </c>
    </row>
    <row r="16" spans="1:64" x14ac:dyDescent="0.25">
      <c r="A16" s="53" t="s">
        <v>106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</row>
    <row r="17" spans="1:30" x14ac:dyDescent="0.25">
      <c r="A17" t="s">
        <v>75</v>
      </c>
      <c r="B17" t="s">
        <v>76</v>
      </c>
      <c r="C17" s="25">
        <v>44174</v>
      </c>
      <c r="D17" s="15">
        <v>310000</v>
      </c>
      <c r="E17" t="s">
        <v>34</v>
      </c>
      <c r="F17" t="s">
        <v>35</v>
      </c>
      <c r="G17" s="15">
        <v>310000</v>
      </c>
      <c r="H17" s="15">
        <v>197600</v>
      </c>
      <c r="I17" s="20">
        <f>H17/G17*100</f>
        <v>63.741935483870968</v>
      </c>
      <c r="J17" s="15">
        <v>395175</v>
      </c>
      <c r="K17" s="15">
        <f>G17-219008</f>
        <v>90992</v>
      </c>
      <c r="L17" s="15">
        <v>176167</v>
      </c>
      <c r="M17" s="30">
        <v>103.627538</v>
      </c>
      <c r="N17" s="34">
        <v>132</v>
      </c>
      <c r="O17" s="39">
        <v>0.35199999999999998</v>
      </c>
      <c r="P17" s="39">
        <v>0.35199999999999998</v>
      </c>
      <c r="Q17" s="15">
        <f>K17/M17</f>
        <v>878.06775839835154</v>
      </c>
      <c r="R17" s="15">
        <f>K17/O17</f>
        <v>258500.00000000003</v>
      </c>
      <c r="S17" s="44">
        <f>K17/O17/43560</f>
        <v>5.9343434343434351</v>
      </c>
      <c r="T17" s="39">
        <v>116</v>
      </c>
      <c r="U17" s="5" t="s">
        <v>36</v>
      </c>
      <c r="V17" t="s">
        <v>77</v>
      </c>
      <c r="X17" t="s">
        <v>38</v>
      </c>
      <c r="Y17">
        <v>1</v>
      </c>
      <c r="Z17">
        <v>0</v>
      </c>
      <c r="AA17" s="6">
        <v>44935</v>
      </c>
      <c r="AC17" s="7" t="s">
        <v>39</v>
      </c>
      <c r="AD17" t="s">
        <v>61</v>
      </c>
    </row>
  </sheetData>
  <mergeCells count="2">
    <mergeCell ref="A16:AF16"/>
    <mergeCell ref="A1:AF1"/>
  </mergeCells>
  <conditionalFormatting sqref="A3:AF6 A17:AF17">
    <cfRule type="expression" dxfId="7" priority="3" stopIfTrue="1">
      <formula>MOD(ROW(),4)&gt;1</formula>
    </cfRule>
    <cfRule type="expression" dxfId="6" priority="4" stopIfTrue="1">
      <formula>MOD(ROW(),4)&lt;2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AD31C-1E1D-4EC6-83C0-D211C932C920}">
  <sheetPr>
    <tabColor rgb="FFFFFF00"/>
  </sheetPr>
  <dimension ref="A1:BL19"/>
  <sheetViews>
    <sheetView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6.570312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30.140625" bestFit="1" customWidth="1"/>
    <col min="7" max="7" width="10.85546875" style="15" bestFit="1" customWidth="1"/>
    <col min="8" max="8" width="12.7109375" style="15" bestFit="1" customWidth="1"/>
    <col min="9" max="9" width="12.85546875" style="20" bestFit="1" customWidth="1"/>
    <col min="10" max="10" width="15.140625" style="15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26.85546875" bestFit="1" customWidth="1"/>
    <col min="24" max="24" width="17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1" width="16.7109375" bestFit="1" customWidth="1"/>
    <col min="32" max="32" width="12.42578125" bestFit="1" customWidth="1"/>
  </cols>
  <sheetData>
    <row r="1" spans="1:64" x14ac:dyDescent="0.25">
      <c r="A1" s="54" t="s">
        <v>108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32</v>
      </c>
      <c r="B3" t="s">
        <v>33</v>
      </c>
      <c r="C3" s="25">
        <v>44089</v>
      </c>
      <c r="D3" s="15">
        <v>878000</v>
      </c>
      <c r="E3" t="s">
        <v>34</v>
      </c>
      <c r="F3" t="s">
        <v>35</v>
      </c>
      <c r="G3" s="15">
        <v>878000</v>
      </c>
      <c r="H3" s="15">
        <v>440600</v>
      </c>
      <c r="I3" s="20">
        <f t="shared" ref="I3:I6" si="0">H3/G3*100</f>
        <v>50.182232346241463</v>
      </c>
      <c r="J3" s="15">
        <v>881242</v>
      </c>
      <c r="K3" s="15">
        <f>G3-713834</f>
        <v>164166</v>
      </c>
      <c r="L3" s="15">
        <v>167408</v>
      </c>
      <c r="M3" s="30">
        <v>115.45396100000001</v>
      </c>
      <c r="N3" s="34">
        <v>176.47908000000001</v>
      </c>
      <c r="O3" s="39">
        <v>0.62</v>
      </c>
      <c r="P3" s="39">
        <v>0.62</v>
      </c>
      <c r="Q3" s="15">
        <f t="shared" ref="Q3:Q6" si="1">K3/M3</f>
        <v>1421.9174342576257</v>
      </c>
      <c r="R3" s="15">
        <f t="shared" ref="R3:R6" si="2">K3/O3</f>
        <v>264783.87096774194</v>
      </c>
      <c r="S3" s="44">
        <f t="shared" ref="S3:S6" si="3">K3/O3/43560</f>
        <v>6.0786012618857193</v>
      </c>
      <c r="T3" s="39">
        <v>142</v>
      </c>
      <c r="U3" s="5" t="s">
        <v>36</v>
      </c>
      <c r="V3" t="s">
        <v>37</v>
      </c>
      <c r="X3" t="s">
        <v>38</v>
      </c>
      <c r="Y3">
        <v>0</v>
      </c>
      <c r="Z3">
        <v>1</v>
      </c>
      <c r="AA3" s="6">
        <v>39352</v>
      </c>
      <c r="AC3" s="7" t="s">
        <v>39</v>
      </c>
      <c r="AD3" t="s">
        <v>40</v>
      </c>
      <c r="AL3" s="2"/>
      <c r="BC3" s="2"/>
      <c r="BE3" s="2"/>
    </row>
    <row r="4" spans="1:64" x14ac:dyDescent="0.25">
      <c r="A4" t="s">
        <v>41</v>
      </c>
      <c r="B4" t="s">
        <v>42</v>
      </c>
      <c r="C4" s="25">
        <v>44203</v>
      </c>
      <c r="D4" s="15">
        <v>500200</v>
      </c>
      <c r="E4" t="s">
        <v>34</v>
      </c>
      <c r="F4" t="s">
        <v>35</v>
      </c>
      <c r="G4" s="15">
        <v>500200</v>
      </c>
      <c r="H4" s="15">
        <v>265300</v>
      </c>
      <c r="I4" s="20">
        <f t="shared" si="0"/>
        <v>53.038784486205515</v>
      </c>
      <c r="J4" s="15">
        <v>530630</v>
      </c>
      <c r="K4" s="15">
        <f>G4-386961</f>
        <v>113239</v>
      </c>
      <c r="L4" s="15">
        <v>143669</v>
      </c>
      <c r="M4" s="30">
        <v>99.081908999999996</v>
      </c>
      <c r="N4" s="34">
        <v>227</v>
      </c>
      <c r="O4" s="39">
        <v>0.54700000000000004</v>
      </c>
      <c r="P4" s="39">
        <v>0.54700000000000004</v>
      </c>
      <c r="Q4" s="15">
        <f t="shared" si="1"/>
        <v>1142.8827032389941</v>
      </c>
      <c r="R4" s="15">
        <f t="shared" si="2"/>
        <v>207018.28153564897</v>
      </c>
      <c r="S4" s="44">
        <f t="shared" si="3"/>
        <v>4.7524858020121439</v>
      </c>
      <c r="T4" s="39">
        <v>105</v>
      </c>
      <c r="U4" s="5" t="s">
        <v>36</v>
      </c>
      <c r="V4" t="s">
        <v>43</v>
      </c>
      <c r="X4" t="s">
        <v>38</v>
      </c>
      <c r="Y4">
        <v>0</v>
      </c>
      <c r="Z4">
        <v>1</v>
      </c>
      <c r="AA4" s="6">
        <v>39352</v>
      </c>
      <c r="AC4" s="7" t="s">
        <v>39</v>
      </c>
      <c r="AD4" t="s">
        <v>40</v>
      </c>
    </row>
    <row r="5" spans="1:64" x14ac:dyDescent="0.25">
      <c r="A5" t="s">
        <v>49</v>
      </c>
      <c r="B5" t="s">
        <v>50</v>
      </c>
      <c r="C5" s="25">
        <v>44301</v>
      </c>
      <c r="D5" s="15">
        <v>176000</v>
      </c>
      <c r="E5" t="s">
        <v>34</v>
      </c>
      <c r="F5" t="s">
        <v>35</v>
      </c>
      <c r="G5" s="15">
        <v>176000</v>
      </c>
      <c r="H5" s="15">
        <v>70100</v>
      </c>
      <c r="I5" s="20">
        <f t="shared" si="0"/>
        <v>39.829545454545453</v>
      </c>
      <c r="J5" s="15">
        <v>140297</v>
      </c>
      <c r="K5" s="15">
        <f>G5-0</f>
        <v>176000</v>
      </c>
      <c r="L5" s="15">
        <v>140297</v>
      </c>
      <c r="M5" s="30">
        <f>77.77+40</f>
        <v>117.77</v>
      </c>
      <c r="N5" s="34">
        <v>158.39999399999999</v>
      </c>
      <c r="O5" s="39">
        <v>0.66300000000000003</v>
      </c>
      <c r="P5" s="39">
        <v>0.66300000000000003</v>
      </c>
      <c r="Q5" s="15">
        <f t="shared" si="1"/>
        <v>1494.4383119639976</v>
      </c>
      <c r="R5" s="15">
        <f t="shared" si="2"/>
        <v>265460.03016591253</v>
      </c>
      <c r="S5" s="44">
        <f t="shared" si="3"/>
        <v>6.0941237411825648</v>
      </c>
      <c r="T5" s="39">
        <v>33</v>
      </c>
      <c r="U5" s="5" t="s">
        <v>36</v>
      </c>
      <c r="V5" t="s">
        <v>51</v>
      </c>
      <c r="X5" t="s">
        <v>38</v>
      </c>
      <c r="Y5">
        <v>1</v>
      </c>
      <c r="Z5">
        <v>1</v>
      </c>
      <c r="AA5" s="6">
        <v>39640</v>
      </c>
      <c r="AC5" s="7" t="s">
        <v>52</v>
      </c>
      <c r="AD5" t="s">
        <v>40</v>
      </c>
      <c r="AE5" t="s">
        <v>40</v>
      </c>
    </row>
    <row r="6" spans="1:64" ht="15.75" thickBot="1" x14ac:dyDescent="0.3">
      <c r="A6" t="s">
        <v>62</v>
      </c>
      <c r="B6" t="s">
        <v>63</v>
      </c>
      <c r="C6" s="25">
        <v>44530</v>
      </c>
      <c r="D6" s="15">
        <v>675000</v>
      </c>
      <c r="E6" t="s">
        <v>34</v>
      </c>
      <c r="F6" t="s">
        <v>35</v>
      </c>
      <c r="G6" s="15">
        <v>675000</v>
      </c>
      <c r="H6" s="15">
        <v>310400</v>
      </c>
      <c r="I6" s="20">
        <f t="shared" si="0"/>
        <v>45.985185185185188</v>
      </c>
      <c r="J6" s="15">
        <v>620743</v>
      </c>
      <c r="K6" s="15">
        <f>G6-496950</f>
        <v>178050</v>
      </c>
      <c r="L6" s="15">
        <v>123793</v>
      </c>
      <c r="M6" s="30">
        <v>85.374610000000004</v>
      </c>
      <c r="N6" s="34">
        <v>166</v>
      </c>
      <c r="O6" s="39">
        <v>0.40400000000000003</v>
      </c>
      <c r="P6" s="39">
        <v>0.40400000000000003</v>
      </c>
      <c r="Q6" s="15">
        <f t="shared" si="1"/>
        <v>2085.5146512528722</v>
      </c>
      <c r="R6" s="15">
        <f t="shared" si="2"/>
        <v>440717.82178217819</v>
      </c>
      <c r="S6" s="44">
        <f t="shared" si="3"/>
        <v>10.117489021629435</v>
      </c>
      <c r="T6" s="39">
        <v>106</v>
      </c>
      <c r="U6" s="5" t="s">
        <v>36</v>
      </c>
      <c r="V6" t="s">
        <v>65</v>
      </c>
      <c r="X6" t="s">
        <v>38</v>
      </c>
      <c r="Y6">
        <v>0</v>
      </c>
      <c r="Z6">
        <v>1</v>
      </c>
      <c r="AA6" s="6">
        <v>39381</v>
      </c>
      <c r="AC6" s="7" t="s">
        <v>39</v>
      </c>
      <c r="AD6" t="s">
        <v>40</v>
      </c>
    </row>
    <row r="7" spans="1:64" ht="15.75" thickTop="1" x14ac:dyDescent="0.25">
      <c r="A7" s="8"/>
      <c r="B7" s="8"/>
      <c r="C7" s="26" t="s">
        <v>99</v>
      </c>
      <c r="D7" s="16">
        <f>+SUM(D3:D6)</f>
        <v>2229200</v>
      </c>
      <c r="E7" s="8"/>
      <c r="F7" s="8"/>
      <c r="G7" s="16">
        <f>+SUM(G3:G6)</f>
        <v>2229200</v>
      </c>
      <c r="H7" s="16">
        <f>+SUM(H3:H6)</f>
        <v>1086400</v>
      </c>
      <c r="I7" s="21"/>
      <c r="J7" s="16">
        <f>+SUM(J3:J6)</f>
        <v>2172912</v>
      </c>
      <c r="K7" s="16">
        <f>+SUM(K3:K6)</f>
        <v>631455</v>
      </c>
      <c r="L7" s="16">
        <f>+SUM(L3:L6)</f>
        <v>575167</v>
      </c>
      <c r="M7" s="31">
        <f>+SUM(M3:M6)</f>
        <v>417.68047999999999</v>
      </c>
      <c r="N7" s="35"/>
      <c r="O7" s="40">
        <f>+SUM(O3:O6)</f>
        <v>2.234</v>
      </c>
      <c r="P7" s="40">
        <f>+SUM(P3:P6)</f>
        <v>2.234</v>
      </c>
      <c r="Q7" s="16"/>
      <c r="R7" s="16"/>
      <c r="S7" s="45"/>
      <c r="T7" s="40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64" x14ac:dyDescent="0.25">
      <c r="A8" s="10"/>
      <c r="B8" s="10"/>
      <c r="C8" s="27"/>
      <c r="D8" s="17"/>
      <c r="E8" s="10"/>
      <c r="F8" s="10"/>
      <c r="G8" s="17"/>
      <c r="H8" s="17" t="s">
        <v>100</v>
      </c>
      <c r="I8" s="22">
        <f>H7/G7*100</f>
        <v>48.734972187331778</v>
      </c>
      <c r="J8" s="17"/>
      <c r="K8" s="17"/>
      <c r="L8" s="17" t="s">
        <v>101</v>
      </c>
      <c r="M8" s="32"/>
      <c r="N8" s="36"/>
      <c r="O8" s="41" t="s">
        <v>101</v>
      </c>
      <c r="P8" s="41"/>
      <c r="Q8" s="17"/>
      <c r="R8" s="17" t="s">
        <v>101</v>
      </c>
      <c r="S8" s="46"/>
      <c r="T8" s="41"/>
      <c r="U8" s="11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64" x14ac:dyDescent="0.25">
      <c r="A9" s="12"/>
      <c r="B9" s="12"/>
      <c r="C9" s="28"/>
      <c r="D9" s="18"/>
      <c r="E9" s="12"/>
      <c r="F9" s="12"/>
      <c r="G9" s="18"/>
      <c r="H9" s="18" t="s">
        <v>102</v>
      </c>
      <c r="I9" s="23">
        <f>STDEV(I3:I6)</f>
        <v>5.7379030741950068</v>
      </c>
      <c r="J9" s="18"/>
      <c r="K9" s="18"/>
      <c r="L9" s="18" t="s">
        <v>103</v>
      </c>
      <c r="M9" s="48">
        <f>K7/M7</f>
        <v>1511.8135278909851</v>
      </c>
      <c r="N9" s="37"/>
      <c r="O9" s="42" t="s">
        <v>104</v>
      </c>
      <c r="P9" s="42">
        <f>K7/O7</f>
        <v>282656.66965085047</v>
      </c>
      <c r="Q9" s="18"/>
      <c r="R9" s="18" t="s">
        <v>105</v>
      </c>
      <c r="S9" s="47">
        <f>K7/O7/43560</f>
        <v>6.4889042619570816</v>
      </c>
      <c r="T9" s="42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1" spans="1:64" x14ac:dyDescent="0.25">
      <c r="K11" s="49"/>
      <c r="L11" s="50" t="s">
        <v>107</v>
      </c>
      <c r="M11" s="51">
        <v>1515</v>
      </c>
    </row>
    <row r="16" spans="1:64" x14ac:dyDescent="0.25">
      <c r="A16" s="53" t="s">
        <v>106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</row>
    <row r="17" spans="1:30" x14ac:dyDescent="0.25">
      <c r="A17" t="s">
        <v>62</v>
      </c>
      <c r="B17" t="s">
        <v>63</v>
      </c>
      <c r="C17" s="25">
        <v>44159</v>
      </c>
      <c r="D17" s="15">
        <v>520000</v>
      </c>
      <c r="E17" t="s">
        <v>34</v>
      </c>
      <c r="F17" t="s">
        <v>35</v>
      </c>
      <c r="G17" s="15">
        <v>520000</v>
      </c>
      <c r="H17" s="15">
        <v>310400</v>
      </c>
      <c r="I17" s="20">
        <f>H17/G17*100</f>
        <v>59.692307692307686</v>
      </c>
      <c r="J17" s="15">
        <v>620743</v>
      </c>
      <c r="K17" s="15">
        <f>G17-496950</f>
        <v>23050</v>
      </c>
      <c r="L17" s="15">
        <v>123793</v>
      </c>
      <c r="M17" s="30">
        <v>85.374610000000004</v>
      </c>
      <c r="N17" s="34">
        <v>166</v>
      </c>
      <c r="O17" s="39">
        <v>0.40400000000000003</v>
      </c>
      <c r="P17" s="39">
        <v>0.40400000000000003</v>
      </c>
      <c r="Q17" s="15">
        <f>K17/M17</f>
        <v>269.98659203245552</v>
      </c>
      <c r="R17" s="15">
        <f>K17/O17</f>
        <v>57054.455445544554</v>
      </c>
      <c r="S17" s="44">
        <f>K17/O17/43560</f>
        <v>1.3097900699160825</v>
      </c>
      <c r="T17" s="39">
        <v>106</v>
      </c>
      <c r="U17" s="5" t="s">
        <v>36</v>
      </c>
      <c r="V17" t="s">
        <v>64</v>
      </c>
      <c r="X17" t="s">
        <v>38</v>
      </c>
      <c r="Y17">
        <v>0</v>
      </c>
      <c r="Z17">
        <v>1</v>
      </c>
      <c r="AA17" s="6">
        <v>39381</v>
      </c>
      <c r="AC17" s="7" t="s">
        <v>39</v>
      </c>
      <c r="AD17" t="s">
        <v>40</v>
      </c>
    </row>
    <row r="18" spans="1:30" x14ac:dyDescent="0.25">
      <c r="A18" t="s">
        <v>66</v>
      </c>
      <c r="B18" t="s">
        <v>67</v>
      </c>
      <c r="C18" s="25">
        <v>44027</v>
      </c>
      <c r="D18" s="15">
        <v>369500</v>
      </c>
      <c r="E18" t="s">
        <v>34</v>
      </c>
      <c r="F18" t="s">
        <v>35</v>
      </c>
      <c r="G18" s="15">
        <v>369500</v>
      </c>
      <c r="H18" s="15">
        <v>216700</v>
      </c>
      <c r="I18" s="20">
        <f>H18/G18*100</f>
        <v>58.646820027063598</v>
      </c>
      <c r="J18" s="15">
        <v>433411</v>
      </c>
      <c r="K18" s="15">
        <f>G18-309705</f>
        <v>59795</v>
      </c>
      <c r="L18" s="15">
        <v>123706</v>
      </c>
      <c r="M18" s="30">
        <v>85.314398999999995</v>
      </c>
      <c r="N18" s="34">
        <v>143.5</v>
      </c>
      <c r="O18" s="39">
        <v>0.38200000000000001</v>
      </c>
      <c r="P18" s="39">
        <v>0.38200000000000001</v>
      </c>
      <c r="Q18" s="15">
        <f>K18/M18</f>
        <v>700.87817180778598</v>
      </c>
      <c r="R18" s="15">
        <f>K18/O18</f>
        <v>156531.41361256543</v>
      </c>
      <c r="S18" s="44">
        <f>K18/O18/43560</f>
        <v>3.5934667955134398</v>
      </c>
      <c r="T18" s="39">
        <v>116</v>
      </c>
      <c r="U18" s="5" t="s">
        <v>36</v>
      </c>
      <c r="V18" t="s">
        <v>68</v>
      </c>
      <c r="X18" t="s">
        <v>38</v>
      </c>
      <c r="Y18">
        <v>0</v>
      </c>
      <c r="Z18">
        <v>1</v>
      </c>
      <c r="AA18" s="6">
        <v>39381</v>
      </c>
      <c r="AC18" s="7" t="s">
        <v>39</v>
      </c>
      <c r="AD18" t="s">
        <v>40</v>
      </c>
    </row>
    <row r="19" spans="1:30" x14ac:dyDescent="0.25">
      <c r="A19" t="s">
        <v>69</v>
      </c>
      <c r="B19" t="s">
        <v>70</v>
      </c>
      <c r="C19" s="25">
        <v>44014</v>
      </c>
      <c r="D19" s="15">
        <v>435000</v>
      </c>
      <c r="E19" t="s">
        <v>34</v>
      </c>
      <c r="F19" t="s">
        <v>35</v>
      </c>
      <c r="G19" s="15">
        <v>435000</v>
      </c>
      <c r="H19" s="15">
        <v>250300</v>
      </c>
      <c r="I19" s="20">
        <f>H19/G19*100</f>
        <v>57.540229885057471</v>
      </c>
      <c r="J19" s="15">
        <v>500658</v>
      </c>
      <c r="K19" s="15">
        <f>G19-383803</f>
        <v>51197</v>
      </c>
      <c r="L19" s="15">
        <v>116855</v>
      </c>
      <c r="M19" s="30">
        <v>80.589808000000005</v>
      </c>
      <c r="N19" s="34">
        <v>165</v>
      </c>
      <c r="O19" s="39">
        <v>0.375</v>
      </c>
      <c r="P19" s="39">
        <v>0.375</v>
      </c>
      <c r="Q19" s="15">
        <f>K19/M19</f>
        <v>635.27884320061912</v>
      </c>
      <c r="R19" s="15">
        <f>K19/O19</f>
        <v>136525.33333333334</v>
      </c>
      <c r="S19" s="44">
        <f>K19/O19/43560</f>
        <v>3.1341903887358433</v>
      </c>
      <c r="T19" s="39">
        <v>99</v>
      </c>
      <c r="U19" s="5" t="s">
        <v>36</v>
      </c>
      <c r="V19" t="s">
        <v>71</v>
      </c>
      <c r="X19" t="s">
        <v>38</v>
      </c>
      <c r="Y19">
        <v>0</v>
      </c>
      <c r="Z19">
        <v>1</v>
      </c>
      <c r="AA19" s="6">
        <v>44552</v>
      </c>
      <c r="AC19" s="7" t="s">
        <v>39</v>
      </c>
      <c r="AD19" t="s">
        <v>40</v>
      </c>
    </row>
  </sheetData>
  <mergeCells count="2">
    <mergeCell ref="A16:AF16"/>
    <mergeCell ref="A1:AF1"/>
  </mergeCells>
  <conditionalFormatting sqref="A3:AF6 A17:AF19">
    <cfRule type="expression" dxfId="5" priority="7" stopIfTrue="1">
      <formula>MOD(ROW(),4)&gt;1</formula>
    </cfRule>
    <cfRule type="expression" dxfId="4" priority="8" stopIfTrue="1">
      <formula>MOD(ROW(),4)&lt;2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27951-587A-4E74-A4FF-ED9D04C15569}">
  <sheetPr>
    <tabColor rgb="FFFFFF00"/>
  </sheetPr>
  <dimension ref="A1:BL16"/>
  <sheetViews>
    <sheetView workbookViewId="0">
      <selection activeCell="K22" sqref="K22"/>
    </sheetView>
  </sheetViews>
  <sheetFormatPr defaultRowHeight="15" x14ac:dyDescent="0.25"/>
  <cols>
    <col min="1" max="1" width="14.28515625" bestFit="1" customWidth="1"/>
    <col min="2" max="2" width="16.570312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30.140625" bestFit="1" customWidth="1"/>
    <col min="7" max="7" width="10.85546875" style="15" bestFit="1" customWidth="1"/>
    <col min="8" max="8" width="12.7109375" style="15" bestFit="1" customWidth="1"/>
    <col min="9" max="9" width="12.85546875" style="20" bestFit="1" customWidth="1"/>
    <col min="10" max="10" width="15.140625" style="15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2.4257812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26.85546875" bestFit="1" customWidth="1"/>
    <col min="24" max="24" width="17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1" width="16.7109375" bestFit="1" customWidth="1"/>
    <col min="32" max="32" width="12.42578125" bestFit="1" customWidth="1"/>
  </cols>
  <sheetData>
    <row r="1" spans="1:64" x14ac:dyDescent="0.25">
      <c r="A1" s="54" t="s">
        <v>110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44</v>
      </c>
      <c r="B3" t="s">
        <v>45</v>
      </c>
      <c r="C3" s="25">
        <v>44281</v>
      </c>
      <c r="D3" s="15">
        <v>270000</v>
      </c>
      <c r="E3" t="s">
        <v>46</v>
      </c>
      <c r="F3" t="s">
        <v>35</v>
      </c>
      <c r="G3" s="15">
        <v>270000</v>
      </c>
      <c r="H3" s="15">
        <v>102500</v>
      </c>
      <c r="I3" s="20">
        <f t="shared" ref="I3:I4" si="0">H3/G3*100</f>
        <v>37.962962962962962</v>
      </c>
      <c r="J3" s="15">
        <v>348063</v>
      </c>
      <c r="K3" s="15">
        <f>G3-114758</f>
        <v>155242</v>
      </c>
      <c r="L3" s="15">
        <v>133305</v>
      </c>
      <c r="M3" s="30">
        <v>47.608863999999997</v>
      </c>
      <c r="N3" s="34">
        <v>80</v>
      </c>
      <c r="O3" s="39">
        <v>0.11</v>
      </c>
      <c r="P3" s="39">
        <v>0.11</v>
      </c>
      <c r="Q3" s="15">
        <f t="shared" ref="Q3:Q4" si="1">K3/M3</f>
        <v>3260.7793372259421</v>
      </c>
      <c r="R3" s="15">
        <f t="shared" ref="R3:R4" si="2">K3/O3</f>
        <v>1411290.9090909092</v>
      </c>
      <c r="S3" s="44">
        <f t="shared" ref="S3:S4" si="3">K3/O3/43560</f>
        <v>32.398781200434094</v>
      </c>
      <c r="T3" s="39">
        <v>60</v>
      </c>
      <c r="U3" s="5" t="s">
        <v>36</v>
      </c>
      <c r="X3" t="s">
        <v>38</v>
      </c>
      <c r="Y3">
        <v>0</v>
      </c>
      <c r="Z3">
        <v>0</v>
      </c>
      <c r="AA3" t="s">
        <v>47</v>
      </c>
      <c r="AC3" s="7" t="s">
        <v>39</v>
      </c>
      <c r="AD3" t="s">
        <v>48</v>
      </c>
    </row>
    <row r="4" spans="1:64" ht="15.75" thickBot="1" x14ac:dyDescent="0.3">
      <c r="A4" t="s">
        <v>88</v>
      </c>
      <c r="B4" t="s">
        <v>89</v>
      </c>
      <c r="C4" s="25">
        <v>44127</v>
      </c>
      <c r="D4" s="15">
        <v>240000</v>
      </c>
      <c r="E4" t="s">
        <v>34</v>
      </c>
      <c r="F4" t="s">
        <v>35</v>
      </c>
      <c r="G4" s="15">
        <v>240000</v>
      </c>
      <c r="H4" s="15">
        <v>119500</v>
      </c>
      <c r="I4" s="20">
        <f t="shared" si="0"/>
        <v>49.791666666666664</v>
      </c>
      <c r="J4" s="15">
        <v>239037</v>
      </c>
      <c r="K4" s="15">
        <f>G4-0</f>
        <v>240000</v>
      </c>
      <c r="L4" s="15">
        <v>239037</v>
      </c>
      <c r="M4" s="30">
        <v>85.370354000000006</v>
      </c>
      <c r="N4" s="34">
        <v>180</v>
      </c>
      <c r="O4" s="39">
        <v>0.31</v>
      </c>
      <c r="P4" s="39">
        <v>0.31</v>
      </c>
      <c r="Q4" s="15">
        <f t="shared" si="1"/>
        <v>2811.2803655470375</v>
      </c>
      <c r="R4" s="15">
        <f t="shared" si="2"/>
        <v>774193.54838709673</v>
      </c>
      <c r="S4" s="44">
        <f t="shared" si="3"/>
        <v>17.773038300897536</v>
      </c>
      <c r="T4" s="39">
        <v>75</v>
      </c>
      <c r="U4" s="5" t="s">
        <v>90</v>
      </c>
      <c r="V4" t="s">
        <v>91</v>
      </c>
      <c r="X4" t="s">
        <v>38</v>
      </c>
      <c r="Y4">
        <v>0</v>
      </c>
      <c r="Z4">
        <v>1</v>
      </c>
      <c r="AA4" s="6">
        <v>39668</v>
      </c>
      <c r="AC4" s="7" t="s">
        <v>52</v>
      </c>
      <c r="AD4" t="s">
        <v>48</v>
      </c>
    </row>
    <row r="5" spans="1:64" ht="15.75" thickTop="1" x14ac:dyDescent="0.25">
      <c r="A5" s="8"/>
      <c r="B5" s="8"/>
      <c r="C5" s="26" t="s">
        <v>99</v>
      </c>
      <c r="D5" s="16">
        <f>+SUM(D3:D4)</f>
        <v>510000</v>
      </c>
      <c r="E5" s="8"/>
      <c r="F5" s="8"/>
      <c r="G5" s="16">
        <f>+SUM(G3:G4)</f>
        <v>510000</v>
      </c>
      <c r="H5" s="16">
        <f>+SUM(H3:H4)</f>
        <v>222000</v>
      </c>
      <c r="I5" s="21"/>
      <c r="J5" s="16">
        <f>+SUM(J3:J4)</f>
        <v>587100</v>
      </c>
      <c r="K5" s="16">
        <f>+SUM(K3:K4)</f>
        <v>395242</v>
      </c>
      <c r="L5" s="16">
        <f>+SUM(L3:L4)</f>
        <v>372342</v>
      </c>
      <c r="M5" s="31">
        <f>+SUM(M3:M4)</f>
        <v>132.979218</v>
      </c>
      <c r="N5" s="35"/>
      <c r="O5" s="40">
        <f>+SUM(O3:O4)</f>
        <v>0.42</v>
      </c>
      <c r="P5" s="40">
        <f>+SUM(P3:P4)</f>
        <v>0.42</v>
      </c>
      <c r="Q5" s="16"/>
      <c r="R5" s="16"/>
      <c r="S5" s="45"/>
      <c r="T5" s="40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64" x14ac:dyDescent="0.25">
      <c r="A6" s="10"/>
      <c r="B6" s="10"/>
      <c r="C6" s="27"/>
      <c r="D6" s="17"/>
      <c r="E6" s="10"/>
      <c r="F6" s="10"/>
      <c r="G6" s="17"/>
      <c r="H6" s="17" t="s">
        <v>100</v>
      </c>
      <c r="I6" s="22">
        <f>H5/G5*100</f>
        <v>43.529411764705884</v>
      </c>
      <c r="J6" s="17"/>
      <c r="K6" s="17"/>
      <c r="L6" s="17" t="s">
        <v>101</v>
      </c>
      <c r="M6" s="32"/>
      <c r="N6" s="36"/>
      <c r="O6" s="41" t="s">
        <v>101</v>
      </c>
      <c r="P6" s="41"/>
      <c r="Q6" s="17"/>
      <c r="R6" s="17" t="s">
        <v>101</v>
      </c>
      <c r="S6" s="46"/>
      <c r="T6" s="4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64" x14ac:dyDescent="0.25">
      <c r="A7" s="12"/>
      <c r="B7" s="12"/>
      <c r="C7" s="28"/>
      <c r="D7" s="18"/>
      <c r="E7" s="12"/>
      <c r="F7" s="12"/>
      <c r="G7" s="18"/>
      <c r="H7" s="18" t="s">
        <v>102</v>
      </c>
      <c r="I7" s="23">
        <f>STDEV(I3:I4)</f>
        <v>8.3641566015353721</v>
      </c>
      <c r="J7" s="18"/>
      <c r="K7" s="18"/>
      <c r="L7" s="18" t="s">
        <v>103</v>
      </c>
      <c r="M7" s="48">
        <f>K5/M5</f>
        <v>2972.2087852855325</v>
      </c>
      <c r="N7" s="37"/>
      <c r="O7" s="42" t="s">
        <v>104</v>
      </c>
      <c r="P7" s="42">
        <f>K5/O5</f>
        <v>941052.38095238095</v>
      </c>
      <c r="Q7" s="18"/>
      <c r="R7" s="18" t="s">
        <v>105</v>
      </c>
      <c r="S7" s="47">
        <f>K5/O5/43560</f>
        <v>21.603590012680922</v>
      </c>
      <c r="T7" s="42"/>
      <c r="U7" s="1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64" x14ac:dyDescent="0.25">
      <c r="K9" s="49"/>
      <c r="L9" s="50" t="s">
        <v>107</v>
      </c>
      <c r="M9" s="52">
        <v>2975</v>
      </c>
    </row>
    <row r="14" spans="1:64" x14ac:dyDescent="0.25">
      <c r="A14" s="53" t="s">
        <v>106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</row>
    <row r="15" spans="1:64" x14ac:dyDescent="0.25">
      <c r="A15" t="s">
        <v>53</v>
      </c>
      <c r="B15" t="s">
        <v>54</v>
      </c>
      <c r="C15" s="25">
        <v>44141</v>
      </c>
      <c r="D15" s="15">
        <v>199900</v>
      </c>
      <c r="E15" t="s">
        <v>55</v>
      </c>
      <c r="F15" t="s">
        <v>56</v>
      </c>
      <c r="G15" s="15">
        <v>199900</v>
      </c>
      <c r="H15" s="15">
        <v>248900</v>
      </c>
      <c r="I15" s="20">
        <f>H15/G15*100</f>
        <v>124.51225612806402</v>
      </c>
      <c r="J15" s="15">
        <v>497852</v>
      </c>
      <c r="K15" s="15">
        <f>G15-223173</f>
        <v>-23273</v>
      </c>
      <c r="L15" s="15">
        <v>274679</v>
      </c>
      <c r="M15" s="30">
        <v>98.099648000000002</v>
      </c>
      <c r="N15" s="34">
        <v>150</v>
      </c>
      <c r="O15" s="39">
        <v>0.34399999999999997</v>
      </c>
      <c r="P15" s="39">
        <v>0.34399999999999997</v>
      </c>
      <c r="Q15" s="15">
        <f>K15/M15</f>
        <v>-237.23836399494522</v>
      </c>
      <c r="R15" s="15">
        <f>K15/O15</f>
        <v>-67654.069767441862</v>
      </c>
      <c r="S15" s="44">
        <f>K15/O15/43560</f>
        <v>-1.5531237320349371</v>
      </c>
      <c r="T15" s="39">
        <v>100</v>
      </c>
      <c r="U15" s="5" t="s">
        <v>36</v>
      </c>
      <c r="V15" t="s">
        <v>57</v>
      </c>
      <c r="X15" t="s">
        <v>38</v>
      </c>
      <c r="Y15">
        <v>0</v>
      </c>
      <c r="Z15">
        <v>1</v>
      </c>
      <c r="AA15" s="6">
        <v>39626</v>
      </c>
      <c r="AC15" s="7" t="s">
        <v>39</v>
      </c>
      <c r="AD15" t="s">
        <v>48</v>
      </c>
    </row>
    <row r="16" spans="1:64" x14ac:dyDescent="0.25">
      <c r="A16" t="s">
        <v>72</v>
      </c>
      <c r="B16" t="s">
        <v>73</v>
      </c>
      <c r="C16" s="25">
        <v>44174</v>
      </c>
      <c r="D16" s="15">
        <v>490000</v>
      </c>
      <c r="E16" t="s">
        <v>34</v>
      </c>
      <c r="F16" t="s">
        <v>35</v>
      </c>
      <c r="G16" s="15">
        <v>490000</v>
      </c>
      <c r="H16" s="15">
        <v>318700</v>
      </c>
      <c r="I16" s="20">
        <f>H16/G16*100</f>
        <v>65.040816326530617</v>
      </c>
      <c r="J16" s="15">
        <v>637379</v>
      </c>
      <c r="K16" s="15">
        <f>G16-469397</f>
        <v>20603</v>
      </c>
      <c r="L16" s="15">
        <v>167982</v>
      </c>
      <c r="M16" s="30">
        <v>59.993679</v>
      </c>
      <c r="N16" s="34">
        <v>52.609589</v>
      </c>
      <c r="O16" s="39">
        <v>0.17599999999999999</v>
      </c>
      <c r="P16" s="39">
        <v>0.17599999999999999</v>
      </c>
      <c r="Q16" s="15">
        <f>K16/M16</f>
        <v>343.41951257898353</v>
      </c>
      <c r="R16" s="15">
        <f>K16/O16</f>
        <v>117062.5</v>
      </c>
      <c r="S16" s="44">
        <f>K16/O16/43560</f>
        <v>2.6873852157943068</v>
      </c>
      <c r="T16" s="39">
        <v>66.5</v>
      </c>
      <c r="U16" s="5" t="s">
        <v>36</v>
      </c>
      <c r="V16" t="s">
        <v>74</v>
      </c>
      <c r="X16" t="s">
        <v>38</v>
      </c>
      <c r="Y16">
        <v>0</v>
      </c>
      <c r="Z16">
        <v>0</v>
      </c>
      <c r="AA16" s="6">
        <v>39668</v>
      </c>
      <c r="AC16" s="7" t="s">
        <v>39</v>
      </c>
      <c r="AD16" t="s">
        <v>48</v>
      </c>
      <c r="AE16" t="s">
        <v>48</v>
      </c>
    </row>
  </sheetData>
  <mergeCells count="2">
    <mergeCell ref="A14:AF14"/>
    <mergeCell ref="A1:AF1"/>
  </mergeCells>
  <conditionalFormatting sqref="A3:AF4 A15:AF16">
    <cfRule type="expression" dxfId="3" priority="3" stopIfTrue="1">
      <formula>MOD(ROW(),4)&gt;1</formula>
    </cfRule>
    <cfRule type="expression" dxfId="2" priority="4" stopIfTrue="1">
      <formula>MOD(ROW(),4)&lt;2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40945-FEC4-44AF-BF3A-F8232D5D1A06}">
  <sheetPr>
    <tabColor rgb="FFFFFF00"/>
  </sheetPr>
  <dimension ref="A1:BL10"/>
  <sheetViews>
    <sheetView tabSelected="1" view="pageBreakPreview" topLeftCell="M1" zoomScaleNormal="100" zoomScaleSheetLayoutView="100" workbookViewId="0">
      <selection activeCell="M11" sqref="M11"/>
    </sheetView>
  </sheetViews>
  <sheetFormatPr defaultRowHeight="15" x14ac:dyDescent="0.25"/>
  <cols>
    <col min="1" max="1" width="14.28515625" bestFit="1" customWidth="1"/>
    <col min="2" max="2" width="16.5703125" bestFit="1" customWidth="1"/>
    <col min="3" max="3" width="9.28515625" style="25" bestFit="1" customWidth="1"/>
    <col min="4" max="4" width="10.85546875" style="15" bestFit="1" customWidth="1"/>
    <col min="5" max="5" width="5.5703125" bestFit="1" customWidth="1"/>
    <col min="6" max="6" width="30.140625" bestFit="1" customWidth="1"/>
    <col min="7" max="7" width="10.85546875" style="15" bestFit="1" customWidth="1"/>
    <col min="8" max="8" width="12.7109375" style="15" bestFit="1" customWidth="1"/>
    <col min="9" max="9" width="12.85546875" style="20" bestFit="1" customWidth="1"/>
    <col min="10" max="10" width="15.140625" style="15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26.85546875" bestFit="1" customWidth="1"/>
    <col min="24" max="24" width="17.71093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1" width="16.7109375" bestFit="1" customWidth="1"/>
    <col min="32" max="32" width="12.42578125" bestFit="1" customWidth="1"/>
  </cols>
  <sheetData>
    <row r="1" spans="1:64" x14ac:dyDescent="0.25">
      <c r="A1" s="54" t="s">
        <v>111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93</v>
      </c>
      <c r="B3" t="s">
        <v>94</v>
      </c>
      <c r="C3" s="25">
        <v>44547</v>
      </c>
      <c r="D3" s="15">
        <v>200000</v>
      </c>
      <c r="E3" t="s">
        <v>34</v>
      </c>
      <c r="F3" t="s">
        <v>35</v>
      </c>
      <c r="G3" s="15">
        <v>200000</v>
      </c>
      <c r="H3" s="15">
        <v>78000</v>
      </c>
      <c r="I3" s="20">
        <f t="shared" ref="I3:I5" si="0">H3/G3*100</f>
        <v>39</v>
      </c>
      <c r="J3" s="15">
        <v>156007</v>
      </c>
      <c r="K3" s="15">
        <f>G3-70834</f>
        <v>129166</v>
      </c>
      <c r="L3" s="15">
        <v>85173</v>
      </c>
      <c r="M3" s="30">
        <v>50.101523</v>
      </c>
      <c r="N3" s="34">
        <v>123.5</v>
      </c>
      <c r="O3" s="39">
        <v>0.14199999999999999</v>
      </c>
      <c r="P3" s="39">
        <v>0.14199999999999999</v>
      </c>
      <c r="Q3" s="15">
        <f t="shared" ref="Q3:Q5" si="1">K3/M3</f>
        <v>2578.0853009198941</v>
      </c>
      <c r="R3" s="15">
        <f t="shared" ref="R3:R5" si="2">K3/O3</f>
        <v>909619.71830985928</v>
      </c>
      <c r="S3" s="44">
        <f t="shared" ref="S3:S5" si="3">K3/O3/43560</f>
        <v>20.881995369831479</v>
      </c>
      <c r="T3" s="39">
        <v>50</v>
      </c>
      <c r="U3" s="5" t="s">
        <v>36</v>
      </c>
      <c r="V3" t="s">
        <v>95</v>
      </c>
      <c r="X3" t="s">
        <v>38</v>
      </c>
      <c r="Y3">
        <v>1</v>
      </c>
      <c r="Z3">
        <v>0</v>
      </c>
      <c r="AA3" s="6">
        <v>44936</v>
      </c>
      <c r="AC3" s="7" t="s">
        <v>52</v>
      </c>
      <c r="AD3" t="s">
        <v>92</v>
      </c>
    </row>
    <row r="4" spans="1:64" x14ac:dyDescent="0.25">
      <c r="A4" t="s">
        <v>96</v>
      </c>
      <c r="B4" t="s">
        <v>92</v>
      </c>
      <c r="C4" s="25">
        <v>44204</v>
      </c>
      <c r="D4" s="15">
        <v>137000</v>
      </c>
      <c r="E4" t="s">
        <v>34</v>
      </c>
      <c r="F4" t="s">
        <v>35</v>
      </c>
      <c r="G4" s="15">
        <v>137000</v>
      </c>
      <c r="H4" s="15">
        <v>85200</v>
      </c>
      <c r="I4" s="20">
        <f t="shared" si="0"/>
        <v>62.189781021897808</v>
      </c>
      <c r="J4" s="15">
        <v>170345</v>
      </c>
      <c r="K4" s="15">
        <f>G4-0</f>
        <v>137000</v>
      </c>
      <c r="L4" s="15">
        <v>170345</v>
      </c>
      <c r="M4" s="30">
        <v>100.203046</v>
      </c>
      <c r="N4" s="34">
        <v>123.5</v>
      </c>
      <c r="O4" s="39">
        <v>0.28399999999999997</v>
      </c>
      <c r="P4" s="39">
        <v>0.28399999999999997</v>
      </c>
      <c r="Q4" s="15">
        <f t="shared" si="1"/>
        <v>1367.2239065467131</v>
      </c>
      <c r="R4" s="15">
        <f t="shared" si="2"/>
        <v>482394.36619718315</v>
      </c>
      <c r="S4" s="44">
        <f t="shared" si="3"/>
        <v>11.074250830972984</v>
      </c>
      <c r="T4" s="39">
        <v>100</v>
      </c>
      <c r="U4" s="5" t="s">
        <v>36</v>
      </c>
      <c r="V4" t="s">
        <v>97</v>
      </c>
      <c r="X4" t="s">
        <v>38</v>
      </c>
      <c r="Y4">
        <v>0</v>
      </c>
      <c r="Z4">
        <v>0</v>
      </c>
      <c r="AA4" s="6">
        <v>39640</v>
      </c>
      <c r="AC4" s="7" t="s">
        <v>52</v>
      </c>
      <c r="AD4" t="s">
        <v>92</v>
      </c>
    </row>
    <row r="5" spans="1:64" ht="15.75" thickBot="1" x14ac:dyDescent="0.3">
      <c r="A5" t="s">
        <v>96</v>
      </c>
      <c r="B5" t="s">
        <v>92</v>
      </c>
      <c r="C5" s="25">
        <v>44204</v>
      </c>
      <c r="D5" s="15">
        <v>170000</v>
      </c>
      <c r="E5" t="s">
        <v>34</v>
      </c>
      <c r="F5" t="s">
        <v>35</v>
      </c>
      <c r="G5" s="15">
        <v>170000</v>
      </c>
      <c r="H5" s="15">
        <v>85200</v>
      </c>
      <c r="I5" s="20">
        <f t="shared" si="0"/>
        <v>50.117647058823536</v>
      </c>
      <c r="J5" s="15">
        <v>170345</v>
      </c>
      <c r="K5" s="15">
        <f>G5-0</f>
        <v>170000</v>
      </c>
      <c r="L5" s="15">
        <v>170345</v>
      </c>
      <c r="M5" s="30">
        <v>100.203046</v>
      </c>
      <c r="N5" s="34">
        <v>123.5</v>
      </c>
      <c r="O5" s="39">
        <v>0.28399999999999997</v>
      </c>
      <c r="P5" s="39">
        <v>0.28399999999999997</v>
      </c>
      <c r="Q5" s="15">
        <f t="shared" si="1"/>
        <v>1696.5552125032207</v>
      </c>
      <c r="R5" s="15">
        <f t="shared" si="2"/>
        <v>598591.54929577466</v>
      </c>
      <c r="S5" s="44">
        <f t="shared" si="3"/>
        <v>13.741771104127059</v>
      </c>
      <c r="T5" s="39">
        <v>100</v>
      </c>
      <c r="U5" s="5" t="s">
        <v>36</v>
      </c>
      <c r="V5" t="s">
        <v>98</v>
      </c>
      <c r="X5" t="s">
        <v>38</v>
      </c>
      <c r="Y5">
        <v>0</v>
      </c>
      <c r="Z5">
        <v>0</v>
      </c>
      <c r="AA5" s="6">
        <v>39640</v>
      </c>
      <c r="AC5" s="7" t="s">
        <v>52</v>
      </c>
      <c r="AD5" t="s">
        <v>92</v>
      </c>
    </row>
    <row r="6" spans="1:64" ht="15.75" thickTop="1" x14ac:dyDescent="0.25">
      <c r="A6" s="8"/>
      <c r="B6" s="8"/>
      <c r="C6" s="26" t="s">
        <v>99</v>
      </c>
      <c r="D6" s="16">
        <f>+SUM(D3:D5)</f>
        <v>507000</v>
      </c>
      <c r="E6" s="8"/>
      <c r="F6" s="8"/>
      <c r="G6" s="16">
        <f>+SUM(G3:G5)</f>
        <v>507000</v>
      </c>
      <c r="H6" s="16">
        <f>+SUM(H3:H5)</f>
        <v>248400</v>
      </c>
      <c r="I6" s="21"/>
      <c r="J6" s="16">
        <f>+SUM(J3:J5)</f>
        <v>496697</v>
      </c>
      <c r="K6" s="16">
        <f>+SUM(K3:K5)</f>
        <v>436166</v>
      </c>
      <c r="L6" s="16">
        <f>+SUM(L3:L5)</f>
        <v>425863</v>
      </c>
      <c r="M6" s="31">
        <f>+SUM(M3:M5)</f>
        <v>250.50761500000002</v>
      </c>
      <c r="N6" s="35"/>
      <c r="O6" s="40">
        <f>+SUM(O3:O5)</f>
        <v>0.71</v>
      </c>
      <c r="P6" s="40">
        <f>+SUM(P3:P5)</f>
        <v>0.71</v>
      </c>
      <c r="Q6" s="16"/>
      <c r="R6" s="16"/>
      <c r="S6" s="45"/>
      <c r="T6" s="40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64" x14ac:dyDescent="0.25">
      <c r="A7" s="10"/>
      <c r="B7" s="10"/>
      <c r="C7" s="27"/>
      <c r="D7" s="17"/>
      <c r="E7" s="10"/>
      <c r="F7" s="10"/>
      <c r="G7" s="17"/>
      <c r="H7" s="17" t="s">
        <v>100</v>
      </c>
      <c r="I7" s="22">
        <f>H6/G6*100</f>
        <v>48.994082840236686</v>
      </c>
      <c r="J7" s="17"/>
      <c r="K7" s="17"/>
      <c r="L7" s="17" t="s">
        <v>101</v>
      </c>
      <c r="M7" s="32"/>
      <c r="N7" s="36"/>
      <c r="O7" s="41" t="s">
        <v>101</v>
      </c>
      <c r="P7" s="41"/>
      <c r="Q7" s="17"/>
      <c r="R7" s="17" t="s">
        <v>101</v>
      </c>
      <c r="S7" s="46"/>
      <c r="T7" s="41"/>
      <c r="U7" s="11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64" x14ac:dyDescent="0.25">
      <c r="A8" s="12"/>
      <c r="B8" s="12"/>
      <c r="C8" s="28"/>
      <c r="D8" s="18"/>
      <c r="E8" s="12"/>
      <c r="F8" s="12"/>
      <c r="G8" s="18"/>
      <c r="H8" s="18" t="s">
        <v>102</v>
      </c>
      <c r="I8" s="23">
        <f>STDEV(I3:I5)</f>
        <v>11.598163923588313</v>
      </c>
      <c r="J8" s="18"/>
      <c r="K8" s="18"/>
      <c r="L8" s="18" t="s">
        <v>103</v>
      </c>
      <c r="M8" s="48">
        <f>K6/M6</f>
        <v>1741.1287078039522</v>
      </c>
      <c r="N8" s="37"/>
      <c r="O8" s="42" t="s">
        <v>104</v>
      </c>
      <c r="P8" s="42">
        <f>K6/O6</f>
        <v>614318.30985915498</v>
      </c>
      <c r="Q8" s="18"/>
      <c r="R8" s="18" t="s">
        <v>105</v>
      </c>
      <c r="S8" s="47">
        <f>K6/O6/43560</f>
        <v>14.102807848006313</v>
      </c>
      <c r="T8" s="42"/>
      <c r="U8" s="1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10" spans="1:64" x14ac:dyDescent="0.25">
      <c r="K10" s="49"/>
      <c r="L10" s="50" t="s">
        <v>107</v>
      </c>
      <c r="M10" s="51">
        <v>1740</v>
      </c>
    </row>
  </sheetData>
  <mergeCells count="1">
    <mergeCell ref="A1:AF1"/>
  </mergeCells>
  <conditionalFormatting sqref="A3:AF5">
    <cfRule type="expression" dxfId="1" priority="7" stopIfTrue="1">
      <formula>MOD(ROW(),4)&gt;1</formula>
    </cfRule>
    <cfRule type="expression" dxfId="0" priority="8" stopIfTrue="1">
      <formula>MOD(ROW(),4)&lt;2</formula>
    </cfRule>
  </conditionalFormatting>
  <pageMargins left="0.7" right="0.7" top="0.75" bottom="0.75" header="0.3" footer="0.3"/>
  <pageSetup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PARK ST BACK</vt:lpstr>
      <vt:lpstr>WEST RES</vt:lpstr>
      <vt:lpstr>PARK ST VIEW</vt:lpstr>
      <vt:lpstr>FREDRICK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2023-02-01T15:45:36Z</dcterms:created>
  <dcterms:modified xsi:type="dcterms:W3CDTF">2023-03-14T13:47:37Z</dcterms:modified>
</cp:coreProperties>
</file>